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DF\"/>
    </mc:Choice>
  </mc:AlternateContent>
  <xr:revisionPtr revIDLastSave="0" documentId="13_ncr:1_{AC74EB48-4DBF-4352-A6EC-79E92CDECFBB}" xr6:coauthVersionLast="47" xr6:coauthVersionMax="47" xr10:uidLastSave="{00000000-0000-0000-0000-000000000000}"/>
  <bookViews>
    <workbookView xWindow="28680" yWindow="-75" windowWidth="29040" windowHeight="15720" activeTab="2" xr2:uid="{39283099-A684-4516-9E42-1156C950E10A}"/>
  </bookViews>
  <sheets>
    <sheet name="MOT. DF" sheetId="108" r:id="rId1"/>
    <sheet name="TEC. CONT DF" sheetId="106" r:id="rId2"/>
    <sheet name="UNIFORME MOTORISTA"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09" l="1"/>
  <c r="D4" i="109"/>
  <c r="D5" i="109"/>
  <c r="D2" i="109"/>
  <c r="F128" i="108"/>
  <c r="I97" i="108"/>
  <c r="I96" i="108"/>
  <c r="I95" i="108"/>
  <c r="I94" i="108"/>
  <c r="I93" i="108"/>
  <c r="I92" i="108"/>
  <c r="I85" i="108"/>
  <c r="I84" i="108"/>
  <c r="I83" i="108"/>
  <c r="I82" i="108"/>
  <c r="I81" i="108"/>
  <c r="I80" i="108"/>
  <c r="I54" i="108"/>
  <c r="I66" i="108" s="1"/>
  <c r="H41" i="108"/>
  <c r="H46" i="108" s="1"/>
  <c r="H48" i="108" s="1"/>
  <c r="H33" i="108"/>
  <c r="I23" i="108"/>
  <c r="I24" i="108" s="1"/>
  <c r="H60" i="106"/>
  <c r="I62" i="106" s="1"/>
  <c r="I54" i="106"/>
  <c r="I98" i="108" l="1"/>
  <c r="I86" i="108"/>
  <c r="I64" i="106"/>
  <c r="D6" i="109"/>
  <c r="D7" i="109" s="1"/>
  <c r="I110" i="108" s="1"/>
  <c r="I114" i="108" s="1"/>
  <c r="H139" i="108" s="1"/>
  <c r="I74" i="108"/>
  <c r="H135" i="108"/>
  <c r="J95" i="108"/>
  <c r="J82" i="108"/>
  <c r="J94" i="108"/>
  <c r="J85" i="108"/>
  <c r="J81" i="108"/>
  <c r="J97" i="108"/>
  <c r="J93" i="108"/>
  <c r="J84" i="108"/>
  <c r="J80" i="108"/>
  <c r="I32" i="108"/>
  <c r="J96" i="108"/>
  <c r="J92" i="108"/>
  <c r="J83" i="108"/>
  <c r="I31" i="108"/>
  <c r="I33" i="108" l="1"/>
  <c r="I72" i="108" s="1"/>
  <c r="I42" i="108"/>
  <c r="I45" i="108"/>
  <c r="J86" i="108"/>
  <c r="H137" i="108" s="1"/>
  <c r="I40" i="108"/>
  <c r="I39" i="108"/>
  <c r="I47" i="108"/>
  <c r="J98" i="108"/>
  <c r="I103" i="108" s="1"/>
  <c r="I105" i="108" s="1"/>
  <c r="H138" i="108" s="1"/>
  <c r="I43" i="108"/>
  <c r="I44" i="108"/>
  <c r="I41" i="108" l="1"/>
  <c r="I46" i="108"/>
  <c r="I48" i="108" s="1"/>
  <c r="I73" i="108" s="1"/>
  <c r="I75" i="108" s="1"/>
  <c r="H136" i="108" l="1"/>
  <c r="H140" i="108" s="1"/>
  <c r="G126" i="108"/>
  <c r="G121" i="108"/>
  <c r="G123" i="108"/>
  <c r="G120" i="108"/>
  <c r="G124" i="108"/>
  <c r="G128" i="108" l="1"/>
  <c r="H141" i="108" s="1"/>
  <c r="H142" i="108" l="1"/>
  <c r="H143" i="108" s="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93D9C9-049B-4CBD-AE4B-E3C28D29B6BA}">
      <text>
        <r>
          <rPr>
            <b/>
            <sz val="9"/>
            <color indexed="81"/>
            <rFont val="Segoe UI"/>
            <family val="2"/>
          </rPr>
          <t xml:space="preserve">=(5,5*2*22)-(i22/100)*6
</t>
        </r>
      </text>
    </comment>
    <comment ref="H57" authorId="0" shapeId="0" xr:uid="{D0F5326D-FC17-451A-BDD9-8EB1471F405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0" authorId="0" shapeId="0" xr:uid="{E9669719-C33C-42DC-9DA9-84CF4F82DF33}">
      <text>
        <r>
          <rPr>
            <b/>
            <sz val="9"/>
            <color indexed="81"/>
            <rFont val="Segoe UI"/>
            <family val="2"/>
          </rPr>
          <t>De acordo com levantamento efetuado em diversos contratos, cerca de 5% do pessoal é demitido pelo
empregador</t>
        </r>
      </text>
    </comment>
    <comment ref="B81" authorId="0" shapeId="0" xr:uid="{B24D0920-BEE8-4AF8-AA56-F5274B07DE60}">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2" authorId="0" shapeId="0" xr:uid="{7429AE0C-87D4-43FC-9DC3-75F70E601E64}">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3" authorId="0" shapeId="0" xr:uid="{512C69EB-CFC5-4F6A-8D81-A13300307685}">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5" authorId="0" shapeId="0" xr:uid="{AB74B687-3711-41D2-B03A-08E5E96BAC6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3" authorId="0" shapeId="0" xr:uid="{FBC37511-52A5-4B06-B911-81227597125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4" authorId="0" shapeId="0" xr:uid="{C41316E8-B051-4619-99F9-DEF8437F347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5" authorId="0" shapeId="0" xr:uid="{A9C2DADC-9474-4DBD-8B59-0F58BA1A8B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6" authorId="0" shapeId="0" xr:uid="{F4F70045-1098-46CF-95D4-1891DD49922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7" authorId="0" shapeId="0" xr:uid="{7D1D08BA-400D-415F-B97E-C1B0E28D5BD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7" authorId="1" shapeId="0" xr:uid="{DF53C18B-A682-40E7-BD64-723F65853102}">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=(5,5*2*22)-(i22/100)*6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<sst xmlns="http://schemas.openxmlformats.org/spreadsheetml/2006/main" count="391" uniqueCount="144">
  <si>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</si>
  <si>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</si>
  <si>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</si>
  <si>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</si>
  <si>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</si>
  <si>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</si>
  <si>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</si>
  <si>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</si>
  <si>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</si>
  <si>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</si>
  <si>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</si>
  <si>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</si>
  <si>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</si>
  <si>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</si>
  <si>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</si>
  <si>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</si>
  <si>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</si>
  <si>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</si>
  <si>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</si>
  <si>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</si>
  <si>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</si>
  <si>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</si>
  <si>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</si>
  <si>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</si>
  <si>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</si>
  <si>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</si>
  <si>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</si>
  <si>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</si>
  <si>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</si>
  <si>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</si>
  <si>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</si>
  <si>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</si>
  <si>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</si>
  <si>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</si>
  <si>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</si>
  <si>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</si>
  <si>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</si>
  <si>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</si>
  <si>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</si>
  <si>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</si>
  <si>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</si>
  <si>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</si>
  <si>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</si>
  <si>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</si>
  <si>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</si>
  <si>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</si>
  <si>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</si>
  <si>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</si>
  <si>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</si>
  <si>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</si>
  <si>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</si>
  <si>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</si>
  <si>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</si>
  <si>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</si>
  <si>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</si>
  <si>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</si>
  <si>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</si>
  <si>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</si>
  <si>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</si>
  <si>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</si>
  <si>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</si>
  <si>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</si>
  <si>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</si>
  <si>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</si>
  <si>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</si>
  <si>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</si>
  <si>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</si>
  <si>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</si>
  <si>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</si>
  <si>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</si>
  <si>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</si>
  <si>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</si>
  <si>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</si>
  <si>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</si>
  <si>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</si>
  <si>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</si>
  <si>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</si>
  <si>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</si>
  <si>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</si>
  <si>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</si>
  <si>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</si>
  <si>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</si>
  <si>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</si>
  <si>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</si>
  <si>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</si>
  <si>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</si>
  <si>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</si>
  <si>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</si>
  <si>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</si>
  <si>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</si>
  <si>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</si>
  <si>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</si>
  <si>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</si>
  <si>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</si>
  <si>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</si>
  <si>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</si>
  <si>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</si>
  <si>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</si>
  <si>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</si>
  <si>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</si>
  <si>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</si>
  <si>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</si>
  <si>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</si>
  <si>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</si>
  <si>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</si>
  <si>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</si>
  <si>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</si>
  <si>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</si>
  <si>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</si>
  <si>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</si>
  <si>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</si>
  <si>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</si>
  <si>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</si>
  <si>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</si>
  <si>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</si>
  <si>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SESCON/DF</t>
  </si>
  <si>
    <r>
      <t xml:space="preserve">Salário-Base </t>
    </r>
    <r>
      <rPr>
        <b/>
        <sz val="11"/>
        <color rgb="FFFF0000"/>
        <rFont val="Calibri"/>
        <family val="2"/>
        <scheme val="minor"/>
      </rPr>
      <t>(CLÁUSULA 3 CCT-2023 SESCON/DF)</t>
    </r>
  </si>
  <si>
    <t>13º (décimo terceiro) Salário (item 14 do Anexo XII da IN 05/2017 MPDG) 8,33%</t>
  </si>
  <si>
    <t>Férias e Adicional de Férias (item 14 do Anexo XII da IN 05/2017 MPDG) 12,10%</t>
  </si>
  <si>
    <r>
      <t xml:space="preserve">B.1) Valor do auxílio-alimentação </t>
    </r>
    <r>
      <rPr>
        <b/>
        <sz val="11"/>
        <color rgb="FF0000FF"/>
        <rFont val="Calibri"/>
        <family val="2"/>
        <scheme val="minor"/>
      </rPr>
      <t>- (Cláusula 10a, CCT 2023 SESCON/DF) Desconto 5% p/ associados e 20% para os demais (R$ 28,00)</t>
    </r>
  </si>
  <si>
    <r>
      <t xml:space="preserve">C.3. Tributos Municipais (ISS) - </t>
    </r>
    <r>
      <rPr>
        <b/>
        <sz val="11"/>
        <color rgb="FFFF0000"/>
        <rFont val="Calibri"/>
        <family val="2"/>
        <scheme val="minor"/>
      </rPr>
      <t>Brasília/DF</t>
    </r>
  </si>
  <si>
    <r>
      <t xml:space="preserve">B.1) Valor do auxílio-alimentação </t>
    </r>
    <r>
      <rPr>
        <b/>
        <sz val="11"/>
        <color rgb="FF0000FF"/>
        <rFont val="Calibri"/>
        <family val="2"/>
        <scheme val="minor"/>
      </rPr>
      <t>- (Cláusula 9a, CCT 2024 SITTRATER/DF) Desconto R$ 0,10</t>
    </r>
  </si>
  <si>
    <r>
      <t xml:space="preserve">Salário-Base </t>
    </r>
    <r>
      <rPr>
        <b/>
        <sz val="11"/>
        <color rgb="FFFF0000"/>
        <rFont val="Calibri"/>
        <family val="2"/>
        <scheme val="minor"/>
      </rPr>
      <t>(CLÁUSULA 4 CCT-2024 SITTRATER/DF)</t>
    </r>
  </si>
  <si>
    <t>SITTRATER/DF/2024</t>
  </si>
  <si>
    <r>
      <t>Auxílio Saúde</t>
    </r>
    <r>
      <rPr>
        <b/>
        <sz val="11"/>
        <color rgb="FF0000FF"/>
        <rFont val="Calibri"/>
        <family val="2"/>
        <scheme val="minor"/>
      </rPr>
      <t xml:space="preserve"> (Cláusula 13ª CCT/2024/SITTRATER/DF)</t>
    </r>
  </si>
  <si>
    <r>
      <t>Plano Odontológico</t>
    </r>
    <r>
      <rPr>
        <b/>
        <sz val="11"/>
        <color rgb="FF0000FF"/>
        <rFont val="Calibri"/>
        <family val="2"/>
        <scheme val="minor"/>
      </rPr>
      <t xml:space="preserve"> (Cláusula 14ª CCT/2024/SITTRATER/DF)</t>
    </r>
  </si>
  <si>
    <r>
      <t>Seguro de Vida</t>
    </r>
    <r>
      <rPr>
        <b/>
        <sz val="11"/>
        <color rgb="FF0000FF"/>
        <rFont val="Calibri"/>
        <family val="2"/>
        <scheme val="minor"/>
      </rPr>
      <t xml:space="preserve"> (Cláusula 17ª CCT/2024/SITTRATER/DF)</t>
    </r>
  </si>
  <si>
    <t>PEÇAS</t>
  </si>
  <si>
    <t>QUANT. Anual</t>
  </si>
  <si>
    <t>Bota operacional cano curto preta</t>
  </si>
  <si>
    <t>Meia SPORT cano longo.</t>
  </si>
  <si>
    <t>V. UNITÁRIO</t>
  </si>
  <si>
    <t>VALOR TOTAL ANUAL</t>
  </si>
  <si>
    <t>VALOR MENSAL POR EMPREGADO</t>
  </si>
  <si>
    <r>
      <t>Técnico em Contabilidade (</t>
    </r>
    <r>
      <rPr>
        <b/>
        <sz val="11"/>
        <color rgb="FFFF0000"/>
        <rFont val="Calibri"/>
        <family val="2"/>
        <scheme val="minor"/>
      </rPr>
      <t>CBO 3511-05</t>
    </r>
    <r>
      <rPr>
        <b/>
        <sz val="11"/>
        <color theme="1"/>
        <rFont val="Calibri"/>
        <family val="2"/>
        <scheme val="minor"/>
      </rPr>
      <t>) - ANP-PF - Brasília/DF</t>
    </r>
  </si>
  <si>
    <r>
      <t xml:space="preserve">Adicional de INSALUBRIDADE </t>
    </r>
    <r>
      <rPr>
        <b/>
        <sz val="11"/>
        <color rgb="FFFF0000"/>
        <rFont val="Calibri"/>
        <family val="2"/>
        <scheme val="minor"/>
      </rPr>
      <t>(Laudo Local)</t>
    </r>
  </si>
  <si>
    <r>
      <t>Motorista Cat. D (</t>
    </r>
    <r>
      <rPr>
        <b/>
        <sz val="11"/>
        <color rgb="FFFF0000"/>
        <rFont val="Calibri"/>
        <family val="2"/>
        <scheme val="minor"/>
      </rPr>
      <t>CBO 7825-10</t>
    </r>
    <r>
      <rPr>
        <b/>
        <sz val="11"/>
        <color theme="1"/>
        <rFont val="Calibri"/>
        <family val="2"/>
        <scheme val="minor"/>
      </rPr>
      <t>) - ANP-PF - Brasília/DF</t>
    </r>
  </si>
  <si>
    <t>MJSP - POLÍCIA FEDERAL - CPL/DILOG/DITEC/PF</t>
  </si>
  <si>
    <t>Calça em tecido Rip Stop cor caqui/khaki</t>
  </si>
  <si>
    <t>Outros benefícios</t>
  </si>
  <si>
    <t xml:space="preserve">Uniformes  </t>
  </si>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</sst>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4" fontId="7" fillId="0" borderId="1" xfId="4" applyNumberFormat="1"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F24F148-E310-4AE9-B50B-47BD36B674A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EBA7850-D194-48FE-9E31-CFA3526C52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33693-ED6A-4D7B-B461-DC8622846EC6}">
  <dimension ref="A1:IV146"/>
  <sheetViews>
    <sheetView topLeftCell="A46" workbookViewId="0">
      <selection activeCell="O60" sqref="O6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137</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136</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114</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80</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123</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45292</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122</v>
      </c>
      <c r="C22" s="98"/>
      <c r="D22" s="98"/>
      <c r="E22" s="98"/>
      <c r="F22" s="98"/>
      <c r="G22" s="98"/>
      <c r="H22" s="98"/>
      <c r="I22" s="28">
        <v>3791.16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135</v>
      </c>
      <c r="C23" s="140"/>
      <c r="D23" s="140"/>
      <c r="E23" s="140"/>
      <c r="F23" s="140"/>
      <c r="G23" s="140"/>
      <c r="H23" s="43">
        <v>0.2</v>
      </c>
      <c r="I23" s="32">
        <f>ROUND(H23*I22,2)</f>
        <v>758.23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3">
        <f>SUM(I22:I23)</f>
        <v>4549.3899999999994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117</v>
      </c>
      <c r="C31" s="127"/>
      <c r="D31" s="127"/>
      <c r="E31" s="127"/>
      <c r="F31" s="127"/>
      <c r="G31" s="128"/>
      <c r="H31" s="23">
        <v>8.3299999999999999E-2</v>
      </c>
      <c r="I31" s="34">
        <f>I24*H31</f>
        <v>378.96418699999992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118</v>
      </c>
      <c r="C32" s="130"/>
      <c r="D32" s="130"/>
      <c r="E32" s="130"/>
      <c r="F32" s="130"/>
      <c r="G32" s="131"/>
      <c r="H32" s="23">
        <v>0.121</v>
      </c>
      <c r="I32" s="34">
        <f>I24*H32</f>
        <v>550.47618999999986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5">
        <f>SUM(H31:H32)</f>
        <v>0.20429999999999998</v>
      </c>
      <c r="I33" s="33">
        <f>SUM(I31+I32)</f>
        <v>929.44037699999978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77</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1095.7660753999999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136.97075942499998</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76</v>
      </c>
      <c r="C41" s="150"/>
      <c r="D41" s="5" t="s">
        <v>30</v>
      </c>
      <c r="E41" s="29">
        <v>0.03</v>
      </c>
      <c r="F41" s="5" t="s">
        <v>31</v>
      </c>
      <c r="G41" s="30">
        <v>1</v>
      </c>
      <c r="H41" s="23">
        <f>ROUND((E41*G41),6)</f>
        <v>0.03</v>
      </c>
      <c r="I41" s="32">
        <f>(I24+I33)*H41</f>
        <v>164.36491130999997</v>
      </c>
      <c r="J41" s="40"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82.182455654999984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54.788303769999992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32.872982261999994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10.957660753999999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8">
        <f>SUM(H39:H45)</f>
        <v>0.28800000000000003</v>
      </c>
      <c r="I46" s="28">
        <f>SUM(I39:I45)</f>
        <v>1577.9031485759999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438.30643015999993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4">
        <f>H46+H47</f>
        <v>0.36800000000000005</v>
      </c>
      <c r="I48" s="33">
        <f>I46+I47</f>
        <v>2016.2095787359999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78</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141</v>
      </c>
      <c r="C54" s="98"/>
      <c r="D54" s="98"/>
      <c r="E54" s="98"/>
      <c r="F54" s="98"/>
      <c r="G54" s="98"/>
      <c r="H54" s="98"/>
      <c r="I54" s="24">
        <f>(5.5*2*22)-(I22/100)*6</f>
        <v>14.530399999999986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82</v>
      </c>
      <c r="C58" s="152"/>
      <c r="D58" s="152"/>
      <c r="E58" s="152"/>
      <c r="F58" s="152"/>
      <c r="G58" s="152"/>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142</v>
      </c>
      <c r="C59" s="98"/>
      <c r="D59" s="98"/>
      <c r="E59" s="98"/>
      <c r="F59" s="98"/>
      <c r="G59" s="98"/>
      <c r="H59" s="98"/>
      <c r="I59" s="32">
        <v>1250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1" t="s">
        <v>121</v>
      </c>
      <c r="C60" s="151"/>
      <c r="D60" s="151"/>
      <c r="E60" s="151"/>
      <c r="F60" s="151"/>
      <c r="G60" s="151"/>
      <c r="H60" s="38">
        <v>1250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84">
        <v>0.1</v>
      </c>
      <c r="I62" s="24">
        <v>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124</v>
      </c>
      <c r="C63" s="98"/>
      <c r="D63" s="98"/>
      <c r="E63" s="98"/>
      <c r="F63" s="98"/>
      <c r="G63" s="98"/>
      <c r="H63" s="98"/>
      <c r="I63" s="24">
        <v>183.74</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4.5" customHeight="1" x14ac:dyDescent="0.35">
      <c r="A64" s="4" t="s">
        <v>32</v>
      </c>
      <c r="B64" s="98" t="s">
        <v>125</v>
      </c>
      <c r="C64" s="98"/>
      <c r="D64" s="98"/>
      <c r="E64" s="98"/>
      <c r="F64" s="98"/>
      <c r="G64" s="98"/>
      <c r="H64" s="98"/>
      <c r="I64" s="36">
        <v>12.7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4" t="s">
        <v>8</v>
      </c>
      <c r="B65" s="98" t="s">
        <v>126</v>
      </c>
      <c r="C65" s="98"/>
      <c r="D65" s="98"/>
      <c r="E65" s="98"/>
      <c r="F65" s="98"/>
      <c r="G65" s="98"/>
      <c r="H65" s="98"/>
      <c r="I65" s="36">
        <v>3.3</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75" customHeight="1" x14ac:dyDescent="0.35">
      <c r="A66" s="12"/>
      <c r="B66" s="146" t="s">
        <v>1</v>
      </c>
      <c r="C66" s="146"/>
      <c r="D66" s="146"/>
      <c r="E66" s="146"/>
      <c r="F66" s="146"/>
      <c r="G66" s="146"/>
      <c r="H66" s="146"/>
      <c r="I66" s="8">
        <f>(I54+H60-I62+I63+I64+I65)</f>
        <v>1464.1704000000002</v>
      </c>
      <c r="J66" s="11"/>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28" customHeight="1" x14ac:dyDescent="0.35">
      <c r="A67" s="161" t="s">
        <v>46</v>
      </c>
      <c r="B67" s="161"/>
      <c r="C67" s="161"/>
      <c r="D67" s="161"/>
      <c r="E67" s="161"/>
      <c r="F67" s="161"/>
      <c r="G67" s="161"/>
      <c r="H67" s="161"/>
      <c r="I67" s="161"/>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 customHeight="1" x14ac:dyDescent="0.35">
      <c r="A68" s="157"/>
      <c r="B68" s="157"/>
      <c r="C68" s="157"/>
      <c r="D68" s="157"/>
      <c r="E68" s="157"/>
      <c r="F68" s="157"/>
      <c r="G68" s="157"/>
      <c r="H68" s="157"/>
      <c r="I68" s="157"/>
      <c r="J68" s="158"/>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6" customHeight="1" x14ac:dyDescent="0.35">
      <c r="A69" s="159"/>
      <c r="B69" s="159"/>
      <c r="C69" s="159"/>
      <c r="D69" s="159"/>
      <c r="E69" s="159"/>
      <c r="F69" s="159"/>
      <c r="G69" s="159"/>
      <c r="H69" s="159"/>
      <c r="I69" s="159"/>
      <c r="J69" s="16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8.5" customHeight="1" x14ac:dyDescent="0.35">
      <c r="A70" s="96" t="s">
        <v>79</v>
      </c>
      <c r="B70" s="96"/>
      <c r="C70" s="96"/>
      <c r="D70" s="96"/>
      <c r="E70" s="96"/>
      <c r="F70" s="96"/>
      <c r="G70" s="96"/>
      <c r="H70" s="96"/>
      <c r="I70" s="96"/>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3">
        <v>2</v>
      </c>
      <c r="B71" s="97" t="s">
        <v>47</v>
      </c>
      <c r="C71" s="97"/>
      <c r="D71" s="97"/>
      <c r="E71" s="97"/>
      <c r="F71" s="97"/>
      <c r="G71" s="97"/>
      <c r="H71" s="97"/>
      <c r="I71" s="3" t="s">
        <v>21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19</v>
      </c>
      <c r="B72" s="98" t="s">
        <v>48</v>
      </c>
      <c r="C72" s="98"/>
      <c r="D72" s="98"/>
      <c r="E72" s="98"/>
      <c r="F72" s="98"/>
      <c r="G72" s="98"/>
      <c r="H72" s="98"/>
      <c r="I72" s="34">
        <f>I33</f>
        <v>929.44037699999978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23</v>
      </c>
      <c r="B73" s="98" t="s">
        <v>24</v>
      </c>
      <c r="C73" s="98"/>
      <c r="D73" s="98"/>
      <c r="E73" s="98"/>
      <c r="F73" s="98"/>
      <c r="G73" s="98"/>
      <c r="H73" s="98"/>
      <c r="I73" s="34">
        <f>I48</f>
        <v>2016.2095787359999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39</v>
      </c>
      <c r="B74" s="98" t="s">
        <v>40</v>
      </c>
      <c r="C74" s="98"/>
      <c r="D74" s="98"/>
      <c r="E74" s="98"/>
      <c r="F74" s="98"/>
      <c r="G74" s="98"/>
      <c r="H74" s="98"/>
      <c r="I74" s="34">
        <f>I66</f>
        <v>1464.1704000000002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97" t="s">
        <v>1</v>
      </c>
      <c r="B75" s="97"/>
      <c r="C75" s="97"/>
      <c r="D75" s="97"/>
      <c r="E75" s="97"/>
      <c r="F75" s="97"/>
      <c r="G75" s="97"/>
      <c r="H75" s="97"/>
      <c r="I75" s="39">
        <f>SUM(I72+I73+I74)</f>
        <v>4409.8203557360002</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5" customHeight="1" x14ac:dyDescent="0.35">
      <c r="A76" s="171"/>
      <c r="B76" s="171"/>
      <c r="C76" s="171"/>
      <c r="D76" s="171"/>
      <c r="E76" s="171"/>
      <c r="F76" s="171"/>
      <c r="G76" s="171"/>
      <c r="H76" s="171"/>
      <c r="I76" s="171"/>
      <c r="J76" s="171"/>
      <c r="K76" s="172"/>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6" customHeight="1" x14ac:dyDescent="0.35">
      <c r="A77" s="171"/>
      <c r="B77" s="171"/>
      <c r="C77" s="171"/>
      <c r="D77" s="171"/>
      <c r="E77" s="171"/>
      <c r="F77" s="171"/>
      <c r="G77" s="171"/>
      <c r="H77" s="171"/>
      <c r="I77" s="171"/>
      <c r="J77" s="171"/>
      <c r="K77" s="172"/>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s="13" customFormat="1" x14ac:dyDescent="0.35">
      <c r="A78" s="125" t="s">
        <v>49</v>
      </c>
      <c r="B78" s="125"/>
      <c r="C78" s="125"/>
      <c r="D78" s="125"/>
      <c r="E78" s="125"/>
      <c r="F78" s="125"/>
      <c r="G78" s="125"/>
      <c r="H78" s="125"/>
      <c r="I78" s="125"/>
      <c r="J78" s="125"/>
      <c r="K78" s="15"/>
    </row>
    <row r="79" spans="1:256" x14ac:dyDescent="0.35">
      <c r="A79" s="6">
        <v>3</v>
      </c>
      <c r="B79" s="146" t="s">
        <v>50</v>
      </c>
      <c r="C79" s="146"/>
      <c r="D79" s="146"/>
      <c r="E79" s="146"/>
      <c r="F79" s="146"/>
      <c r="G79" s="146"/>
      <c r="H79" s="146"/>
      <c r="I79" s="6" t="s">
        <v>86</v>
      </c>
      <c r="J79" s="6" t="s">
        <v>51</v>
      </c>
      <c r="K79" s="78"/>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14</v>
      </c>
      <c r="B80" s="98" t="s">
        <v>93</v>
      </c>
      <c r="C80" s="98"/>
      <c r="D80" s="98"/>
      <c r="E80" s="98"/>
      <c r="F80" s="98"/>
      <c r="G80" s="98"/>
      <c r="H80" s="98"/>
      <c r="I80" s="26">
        <f>(1/12*0.05*100%)</f>
        <v>4.1666666666666666E-3</v>
      </c>
      <c r="J80" s="32">
        <f>I24*I80</f>
        <v>18.955791666666663</v>
      </c>
      <c r="K80" s="79"/>
      <c r="L80" s="49"/>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15</v>
      </c>
      <c r="B81" s="164" t="s">
        <v>83</v>
      </c>
      <c r="C81" s="165"/>
      <c r="D81" s="165"/>
      <c r="E81" s="165"/>
      <c r="F81" s="165"/>
      <c r="G81" s="165"/>
      <c r="H81" s="166"/>
      <c r="I81" s="50">
        <f>(8%*0.42%)</f>
        <v>3.3599999999999998E-4</v>
      </c>
      <c r="J81" s="32">
        <f>I24*I81</f>
        <v>1.5285950399999997</v>
      </c>
      <c r="K81" s="80"/>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s="52" customFormat="1" ht="28" customHeight="1" x14ac:dyDescent="0.3">
      <c r="A82" s="64" t="s">
        <v>29</v>
      </c>
      <c r="B82" s="162" t="s">
        <v>84</v>
      </c>
      <c r="C82" s="162"/>
      <c r="D82" s="162"/>
      <c r="E82" s="162"/>
      <c r="F82" s="162"/>
      <c r="G82" s="162"/>
      <c r="H82" s="162"/>
      <c r="I82" s="53">
        <f>(((1+2/12+(1/3*1/12))*(0.08*0.4*0.9*100%)))</f>
        <v>3.44E-2</v>
      </c>
      <c r="J82" s="32">
        <f>I24*I82</f>
        <v>156.49901599999998</v>
      </c>
      <c r="K82" s="81"/>
      <c r="L82" s="55"/>
    </row>
    <row r="83" spans="1:256" ht="31.75" customHeight="1" x14ac:dyDescent="0.35">
      <c r="A83" s="4" t="s">
        <v>32</v>
      </c>
      <c r="B83" s="98" t="s">
        <v>87</v>
      </c>
      <c r="C83" s="98"/>
      <c r="D83" s="98"/>
      <c r="E83" s="98"/>
      <c r="F83" s="98"/>
      <c r="G83" s="98"/>
      <c r="H83" s="98"/>
      <c r="I83" s="57">
        <f>(7/30)/12*100%</f>
        <v>1.9444444444444445E-2</v>
      </c>
      <c r="J83" s="32">
        <f>I24*I83</f>
        <v>88.460361111111098</v>
      </c>
      <c r="K83" s="45"/>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4" t="s">
        <v>8</v>
      </c>
      <c r="B84" s="163" t="s">
        <v>85</v>
      </c>
      <c r="C84" s="163"/>
      <c r="D84" s="163"/>
      <c r="E84" s="163"/>
      <c r="F84" s="163"/>
      <c r="G84" s="163"/>
      <c r="H84" s="163"/>
      <c r="I84" s="23">
        <f>36.8%*1.94%</f>
        <v>7.1392000000000001E-3</v>
      </c>
      <c r="J84" s="32">
        <f>I24*I84</f>
        <v>32.479005087999994</v>
      </c>
      <c r="K84" s="45"/>
      <c r="L84" s="58"/>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30.5" customHeight="1" x14ac:dyDescent="0.35">
      <c r="A85" s="4" t="s">
        <v>35</v>
      </c>
      <c r="B85" s="164" t="s">
        <v>94</v>
      </c>
      <c r="C85" s="165"/>
      <c r="D85" s="165"/>
      <c r="E85" s="165"/>
      <c r="F85" s="165"/>
      <c r="G85" s="165"/>
      <c r="H85" s="166"/>
      <c r="I85" s="56">
        <f>0.08*0.0194*0.4*100%</f>
        <v>6.2080000000000002E-4</v>
      </c>
      <c r="J85" s="32">
        <f>I24*I85</f>
        <v>2.8242613119999995</v>
      </c>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63"/>
      <c r="B86" s="132" t="s">
        <v>97</v>
      </c>
      <c r="C86" s="133"/>
      <c r="D86" s="133"/>
      <c r="E86" s="133"/>
      <c r="F86" s="133"/>
      <c r="G86" s="133"/>
      <c r="H86" s="134"/>
      <c r="I86" s="54">
        <f>SUM(I80:I85)</f>
        <v>6.6107111111111116E-2</v>
      </c>
      <c r="J86" s="33">
        <f>SUM(J80:J85)</f>
        <v>300.74703021777771</v>
      </c>
      <c r="K86" s="45"/>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6" customHeight="1" x14ac:dyDescent="0.35">
      <c r="A87" s="167"/>
      <c r="B87" s="167"/>
      <c r="C87" s="167"/>
      <c r="D87" s="167"/>
      <c r="E87" s="167"/>
      <c r="F87" s="167"/>
      <c r="G87" s="167"/>
      <c r="H87" s="167"/>
      <c r="I87" s="167"/>
      <c r="J87" s="168"/>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 customHeight="1" x14ac:dyDescent="0.35">
      <c r="A88" s="169"/>
      <c r="B88" s="169"/>
      <c r="C88" s="169"/>
      <c r="D88" s="169"/>
      <c r="E88" s="169"/>
      <c r="F88" s="169"/>
      <c r="G88" s="169"/>
      <c r="H88" s="169"/>
      <c r="I88" s="169"/>
      <c r="J88" s="17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8.5" customHeight="1" x14ac:dyDescent="0.35">
      <c r="A89" s="96" t="s">
        <v>52</v>
      </c>
      <c r="B89" s="96"/>
      <c r="C89" s="96"/>
      <c r="D89" s="96"/>
      <c r="E89" s="96"/>
      <c r="F89" s="96"/>
      <c r="G89" s="96"/>
      <c r="H89" s="96"/>
      <c r="I89" s="96"/>
      <c r="J89" s="96"/>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s="46" customFormat="1" ht="19" customHeight="1" x14ac:dyDescent="0.35">
      <c r="A90" s="96" t="s">
        <v>53</v>
      </c>
      <c r="B90" s="96"/>
      <c r="C90" s="96"/>
      <c r="D90" s="96"/>
      <c r="E90" s="96"/>
      <c r="F90" s="96"/>
      <c r="G90" s="96"/>
      <c r="H90" s="96"/>
      <c r="I90" s="96"/>
      <c r="J90" s="96"/>
      <c r="K90" s="82"/>
    </row>
    <row r="91" spans="1:256" ht="15.75" customHeight="1" x14ac:dyDescent="0.35">
      <c r="A91" s="7" t="s">
        <v>54</v>
      </c>
      <c r="B91" s="146" t="s">
        <v>55</v>
      </c>
      <c r="C91" s="146"/>
      <c r="D91" s="146"/>
      <c r="E91" s="146"/>
      <c r="F91" s="146"/>
      <c r="G91" s="146"/>
      <c r="H91" s="146"/>
      <c r="I91" s="6" t="s">
        <v>88</v>
      </c>
      <c r="J91" s="7" t="s">
        <v>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6.5" customHeight="1" x14ac:dyDescent="0.35">
      <c r="A92" s="4" t="s">
        <v>14</v>
      </c>
      <c r="B92" s="140" t="s">
        <v>92</v>
      </c>
      <c r="C92" s="140"/>
      <c r="D92" s="140"/>
      <c r="E92" s="140"/>
      <c r="F92" s="140"/>
      <c r="G92" s="140"/>
      <c r="H92" s="140"/>
      <c r="I92" s="57">
        <f>1/12</f>
        <v>8.3333333333333329E-2</v>
      </c>
      <c r="J92" s="32">
        <f>I24*I92</f>
        <v>379.11583333333328</v>
      </c>
      <c r="K92" s="45"/>
      <c r="L92" s="10"/>
      <c r="M92" s="10"/>
      <c r="N92" s="44"/>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5.75" customHeight="1" x14ac:dyDescent="0.35">
      <c r="A93" s="4" t="s">
        <v>15</v>
      </c>
      <c r="B93" s="98" t="s">
        <v>91</v>
      </c>
      <c r="C93" s="98"/>
      <c r="D93" s="98"/>
      <c r="E93" s="98"/>
      <c r="F93" s="98"/>
      <c r="G93" s="98"/>
      <c r="H93" s="98"/>
      <c r="I93" s="57">
        <f>(5/30/12)*100%</f>
        <v>1.3888888888888888E-2</v>
      </c>
      <c r="J93" s="32">
        <f>I24*I93</f>
        <v>63.185972222222212</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8.5" customHeight="1" x14ac:dyDescent="0.35">
      <c r="A94" s="4" t="s">
        <v>29</v>
      </c>
      <c r="B94" s="98" t="s">
        <v>90</v>
      </c>
      <c r="C94" s="98"/>
      <c r="D94" s="98"/>
      <c r="E94" s="98"/>
      <c r="F94" s="98"/>
      <c r="G94" s="98"/>
      <c r="H94" s="98"/>
      <c r="I94" s="57">
        <f>(5/30/12)*0.015*100%</f>
        <v>2.0833333333333332E-4</v>
      </c>
      <c r="J94" s="32">
        <f>I24*I94</f>
        <v>0.94778958333333319</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4" t="s">
        <v>32</v>
      </c>
      <c r="B95" s="98" t="s">
        <v>96</v>
      </c>
      <c r="C95" s="98"/>
      <c r="D95" s="98"/>
      <c r="E95" s="98"/>
      <c r="F95" s="98"/>
      <c r="G95" s="98"/>
      <c r="H95" s="98"/>
      <c r="I95" s="60">
        <f>(1/12)*0.0178*100%/2</f>
        <v>7.4166666666666662E-4</v>
      </c>
      <c r="J95" s="32">
        <f>I24*I95</f>
        <v>3.3741309166666662</v>
      </c>
      <c r="K95" s="11"/>
      <c r="L95" s="10"/>
      <c r="M95" s="10"/>
      <c r="N95" s="10"/>
      <c r="O95" s="59"/>
      <c r="P95" s="51"/>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31" customHeight="1" x14ac:dyDescent="0.35">
      <c r="A96" s="4" t="s">
        <v>8</v>
      </c>
      <c r="B96" s="98" t="s">
        <v>95</v>
      </c>
      <c r="C96" s="98"/>
      <c r="D96" s="98"/>
      <c r="E96" s="98"/>
      <c r="F96" s="98"/>
      <c r="G96" s="98"/>
      <c r="H96" s="98"/>
      <c r="I96" s="60">
        <f>11.11%*5.28%*50%</f>
        <v>2.9330399999999996E-3</v>
      </c>
      <c r="J96" s="32">
        <f>I24*I96</f>
        <v>13.343542845599996</v>
      </c>
      <c r="K96" s="11"/>
      <c r="L96" s="6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1" t="s">
        <v>35</v>
      </c>
      <c r="B97" s="98" t="s">
        <v>89</v>
      </c>
      <c r="C97" s="98"/>
      <c r="D97" s="98"/>
      <c r="E97" s="98"/>
      <c r="F97" s="98"/>
      <c r="G97" s="98"/>
      <c r="H97" s="98"/>
      <c r="I97" s="57">
        <f>(1/30/12)*100%</f>
        <v>2.7777777777777779E-3</v>
      </c>
      <c r="J97" s="32">
        <f>I24*I97</f>
        <v>12.637194444444443</v>
      </c>
      <c r="K97" s="11"/>
      <c r="L97" s="51"/>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75" customHeight="1" x14ac:dyDescent="0.35">
      <c r="A98" s="63"/>
      <c r="B98" s="132" t="s">
        <v>97</v>
      </c>
      <c r="C98" s="133"/>
      <c r="D98" s="133"/>
      <c r="E98" s="133"/>
      <c r="F98" s="133"/>
      <c r="G98" s="133"/>
      <c r="H98" s="134"/>
      <c r="I98" s="61">
        <f>SUM(I92:I97)</f>
        <v>0.10388304</v>
      </c>
      <c r="J98" s="41">
        <f>SUM(J92:J97)</f>
        <v>472.60446334559998</v>
      </c>
      <c r="K98" s="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 customHeight="1" x14ac:dyDescent="0.35">
      <c r="A99" s="173"/>
      <c r="B99" s="173"/>
      <c r="C99" s="173"/>
      <c r="D99" s="173"/>
      <c r="E99" s="173"/>
      <c r="F99" s="173"/>
      <c r="G99" s="173"/>
      <c r="H99" s="173"/>
      <c r="I99" s="173"/>
      <c r="J99" s="173"/>
      <c r="K99" s="174"/>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 customHeight="1" x14ac:dyDescent="0.35">
      <c r="A100" s="173"/>
      <c r="B100" s="173"/>
      <c r="C100" s="173"/>
      <c r="D100" s="173"/>
      <c r="E100" s="173"/>
      <c r="F100" s="173"/>
      <c r="G100" s="173"/>
      <c r="H100" s="173"/>
      <c r="I100" s="173"/>
      <c r="J100" s="173"/>
      <c r="K100" s="174"/>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96" t="s">
        <v>58</v>
      </c>
      <c r="B101" s="96"/>
      <c r="C101" s="96"/>
      <c r="D101" s="96"/>
      <c r="E101" s="96"/>
      <c r="F101" s="96"/>
      <c r="G101" s="96"/>
      <c r="H101" s="96"/>
      <c r="I101" s="96"/>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3">
        <v>4</v>
      </c>
      <c r="B102" s="146" t="s">
        <v>59</v>
      </c>
      <c r="C102" s="146"/>
      <c r="D102" s="146"/>
      <c r="E102" s="146"/>
      <c r="F102" s="146"/>
      <c r="G102" s="146"/>
      <c r="H102" s="146"/>
      <c r="I102" s="8" t="s">
        <v>21</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54</v>
      </c>
      <c r="B103" s="163" t="s">
        <v>55</v>
      </c>
      <c r="C103" s="163"/>
      <c r="D103" s="163"/>
      <c r="E103" s="163"/>
      <c r="F103" s="163"/>
      <c r="G103" s="163"/>
      <c r="H103" s="163"/>
      <c r="I103" s="32">
        <f>J98</f>
        <v>472.60446334559998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56</v>
      </c>
      <c r="B104" s="163" t="s">
        <v>57</v>
      </c>
      <c r="C104" s="163"/>
      <c r="D104" s="163"/>
      <c r="E104" s="163"/>
      <c r="F104" s="163"/>
      <c r="G104" s="163"/>
      <c r="H104" s="163"/>
      <c r="I104" s="32">
        <v>0</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7" t="s">
        <v>1</v>
      </c>
      <c r="B105" s="97"/>
      <c r="C105" s="97"/>
      <c r="D105" s="97"/>
      <c r="E105" s="97"/>
      <c r="F105" s="97"/>
      <c r="G105" s="97"/>
      <c r="H105" s="97"/>
      <c r="I105" s="33">
        <f>SUM(I103+I104)</f>
        <v>472.60446334559998</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7.5" customHeight="1" x14ac:dyDescent="0.35">
      <c r="A106" s="175"/>
      <c r="B106" s="175"/>
      <c r="C106" s="175"/>
      <c r="D106" s="175"/>
      <c r="E106" s="175"/>
      <c r="F106" s="175"/>
      <c r="G106" s="175"/>
      <c r="H106" s="175"/>
      <c r="I106" s="175"/>
      <c r="J106" s="176"/>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5" customHeight="1" x14ac:dyDescent="0.35">
      <c r="A107" s="175"/>
      <c r="B107" s="175"/>
      <c r="C107" s="175"/>
      <c r="D107" s="175"/>
      <c r="E107" s="175"/>
      <c r="F107" s="175"/>
      <c r="G107" s="175"/>
      <c r="H107" s="175"/>
      <c r="I107" s="175"/>
      <c r="J107" s="176"/>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96" t="s">
        <v>60</v>
      </c>
      <c r="B108" s="96"/>
      <c r="C108" s="96"/>
      <c r="D108" s="96"/>
      <c r="E108" s="96"/>
      <c r="F108" s="96"/>
      <c r="G108" s="96"/>
      <c r="H108" s="96"/>
      <c r="I108" s="96"/>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6">
        <v>5</v>
      </c>
      <c r="B109" s="97" t="s">
        <v>61</v>
      </c>
      <c r="C109" s="97"/>
      <c r="D109" s="97"/>
      <c r="E109" s="97"/>
      <c r="F109" s="97"/>
      <c r="G109" s="97"/>
      <c r="H109" s="97"/>
      <c r="I109" s="6" t="s">
        <v>21</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7.25" customHeight="1" x14ac:dyDescent="0.35">
      <c r="A110" s="4" t="s">
        <v>14</v>
      </c>
      <c r="B110" s="98" t="s">
        <v>140</v>
      </c>
      <c r="C110" s="98"/>
      <c r="D110" s="98"/>
      <c r="E110" s="98"/>
      <c r="F110" s="98"/>
      <c r="G110" s="98"/>
      <c r="H110" s="98"/>
      <c r="I110" s="42">
        <f>'UNIFORME MOTORISTA'!D7</f>
        <v>115.96833333333332</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15</v>
      </c>
      <c r="B111" s="98" t="s">
        <v>63</v>
      </c>
      <c r="C111" s="98"/>
      <c r="D111" s="98"/>
      <c r="E111" s="98"/>
      <c r="F111" s="98"/>
      <c r="G111" s="98"/>
      <c r="H111" s="98"/>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29</v>
      </c>
      <c r="B112" s="163" t="s">
        <v>64</v>
      </c>
      <c r="C112" s="163"/>
      <c r="D112" s="163"/>
      <c r="E112" s="163"/>
      <c r="F112" s="163"/>
      <c r="G112" s="163"/>
      <c r="H112" s="163"/>
      <c r="I112" s="34"/>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32</v>
      </c>
      <c r="B113" s="98" t="s">
        <v>65</v>
      </c>
      <c r="C113" s="98"/>
      <c r="D113" s="98"/>
      <c r="E113" s="98"/>
      <c r="F113" s="98"/>
      <c r="G113" s="98"/>
      <c r="H113" s="98"/>
      <c r="I113" s="34" t="s">
        <v>66</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132" t="s">
        <v>1</v>
      </c>
      <c r="B114" s="133"/>
      <c r="C114" s="133"/>
      <c r="D114" s="133"/>
      <c r="E114" s="133"/>
      <c r="F114" s="133"/>
      <c r="G114" s="133"/>
      <c r="H114" s="134"/>
      <c r="I114" s="39">
        <f>SUM(I110:I113)</f>
        <v>115.96833333333332</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3" customHeight="1" x14ac:dyDescent="0.35">
      <c r="A115" s="175"/>
      <c r="B115" s="175"/>
      <c r="C115" s="175"/>
      <c r="D115" s="175"/>
      <c r="E115" s="175"/>
      <c r="F115" s="175"/>
      <c r="G115" s="175"/>
      <c r="H115" s="175"/>
      <c r="I115" s="175"/>
      <c r="J115" s="176"/>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 customHeight="1" x14ac:dyDescent="0.35">
      <c r="A116" s="175"/>
      <c r="B116" s="175"/>
      <c r="C116" s="175"/>
      <c r="D116" s="175"/>
      <c r="E116" s="175"/>
      <c r="F116" s="175"/>
      <c r="G116" s="175"/>
      <c r="H116" s="175"/>
      <c r="I116" s="175"/>
      <c r="J116" s="176"/>
      <c r="K116" s="10"/>
      <c r="L116" s="10"/>
    </row>
    <row r="117" spans="1:256" s="52" customFormat="1" ht="15.5" x14ac:dyDescent="0.3">
      <c r="A117" s="178" t="s">
        <v>98</v>
      </c>
      <c r="B117" s="179"/>
      <c r="C117" s="179"/>
      <c r="D117" s="179"/>
      <c r="E117" s="179"/>
      <c r="F117" s="179"/>
      <c r="G117" s="179"/>
      <c r="H117" s="180"/>
    </row>
    <row r="118" spans="1:256" s="52" customFormat="1" ht="13" x14ac:dyDescent="0.3">
      <c r="A118" s="181"/>
      <c r="B118" s="181"/>
      <c r="C118" s="181"/>
      <c r="D118" s="181"/>
      <c r="E118" s="181"/>
      <c r="F118" s="181"/>
      <c r="G118" s="181"/>
      <c r="H118" s="181"/>
      <c r="I118" s="181"/>
      <c r="J118" s="181"/>
    </row>
    <row r="119" spans="1:256" s="69" customFormat="1" ht="29" customHeight="1" x14ac:dyDescent="0.35">
      <c r="A119" s="20">
        <v>6</v>
      </c>
      <c r="B119" s="162" t="s">
        <v>99</v>
      </c>
      <c r="C119" s="162"/>
      <c r="D119" s="162"/>
      <c r="E119" s="162"/>
      <c r="F119" s="20" t="s">
        <v>25</v>
      </c>
      <c r="G119" s="182" t="s">
        <v>21</v>
      </c>
      <c r="H119" s="182"/>
    </row>
    <row r="120" spans="1:256" s="69" customFormat="1" x14ac:dyDescent="0.35">
      <c r="A120" s="20" t="s">
        <v>14</v>
      </c>
      <c r="B120" s="162" t="s">
        <v>5</v>
      </c>
      <c r="C120" s="162"/>
      <c r="D120" s="162"/>
      <c r="E120" s="162"/>
      <c r="F120" s="70">
        <v>0.06</v>
      </c>
      <c r="G120" s="177">
        <f>(I24+I75+J86+I105+I114)*F120</f>
        <v>590.91181095796264</v>
      </c>
      <c r="H120" s="177"/>
    </row>
    <row r="121" spans="1:256" s="69" customFormat="1" x14ac:dyDescent="0.35">
      <c r="A121" s="20" t="s">
        <v>15</v>
      </c>
      <c r="B121" s="162" t="s">
        <v>7</v>
      </c>
      <c r="C121" s="162"/>
      <c r="D121" s="162"/>
      <c r="E121" s="162"/>
      <c r="F121" s="70">
        <v>6.7900000000000002E-2</v>
      </c>
      <c r="G121" s="177">
        <f>(I24+I75+J86+I105+I114)*F121</f>
        <v>668.71519940076109</v>
      </c>
      <c r="H121" s="177"/>
    </row>
    <row r="122" spans="1:256" s="69" customFormat="1" x14ac:dyDescent="0.35">
      <c r="A122" s="20" t="s">
        <v>29</v>
      </c>
      <c r="B122" s="162" t="s">
        <v>6</v>
      </c>
      <c r="C122" s="162"/>
      <c r="D122" s="162"/>
      <c r="E122" s="162"/>
      <c r="F122" s="70"/>
      <c r="G122" s="177"/>
      <c r="H122" s="177"/>
    </row>
    <row r="123" spans="1:256" s="69" customFormat="1" x14ac:dyDescent="0.35">
      <c r="A123" s="20"/>
      <c r="B123" s="162" t="s">
        <v>100</v>
      </c>
      <c r="C123" s="162"/>
      <c r="D123" s="162"/>
      <c r="E123" s="162"/>
      <c r="F123" s="66">
        <v>1.6500000000000001E-2</v>
      </c>
      <c r="G123" s="177">
        <f>(I24+I75+J86+I105+I114)*F123</f>
        <v>162.50074801343973</v>
      </c>
      <c r="H123" s="177"/>
      <c r="I123" s="67" t="s">
        <v>101</v>
      </c>
    </row>
    <row r="124" spans="1:256" s="69" customFormat="1" x14ac:dyDescent="0.35">
      <c r="A124" s="20"/>
      <c r="B124" s="162" t="s">
        <v>102</v>
      </c>
      <c r="C124" s="162"/>
      <c r="D124" s="162"/>
      <c r="E124" s="162"/>
      <c r="F124" s="66">
        <v>7.5999999999999998E-2</v>
      </c>
      <c r="G124" s="177">
        <f>(I24+I75+J86+I105+I114)*F124</f>
        <v>748.48829388008596</v>
      </c>
      <c r="H124" s="177"/>
      <c r="I124" s="67" t="s">
        <v>101</v>
      </c>
    </row>
    <row r="125" spans="1:256" s="69" customFormat="1" x14ac:dyDescent="0.35">
      <c r="A125" s="20"/>
      <c r="B125" s="162" t="s">
        <v>103</v>
      </c>
      <c r="C125" s="162"/>
      <c r="D125" s="162"/>
      <c r="E125" s="162"/>
      <c r="F125" s="70"/>
      <c r="G125" s="177"/>
      <c r="H125" s="177"/>
    </row>
    <row r="126" spans="1:256" s="69" customFormat="1" x14ac:dyDescent="0.35">
      <c r="A126" s="20"/>
      <c r="B126" s="162" t="s">
        <v>120</v>
      </c>
      <c r="C126" s="162"/>
      <c r="D126" s="162"/>
      <c r="E126" s="162"/>
      <c r="F126" s="66">
        <v>0.05</v>
      </c>
      <c r="G126" s="177">
        <f>(I24+I75+J86+I105+I114)*F126</f>
        <v>492.42650913163556</v>
      </c>
      <c r="H126" s="177"/>
    </row>
    <row r="127" spans="1:256" s="69" customFormat="1" x14ac:dyDescent="0.35">
      <c r="A127" s="20"/>
      <c r="B127" s="162" t="s">
        <v>97</v>
      </c>
      <c r="C127" s="162"/>
      <c r="D127" s="162"/>
      <c r="E127" s="162"/>
      <c r="G127" s="177"/>
      <c r="H127" s="177"/>
    </row>
    <row r="128" spans="1:256" s="69" customFormat="1" x14ac:dyDescent="0.35">
      <c r="A128" s="182" t="s">
        <v>104</v>
      </c>
      <c r="B128" s="182"/>
      <c r="C128" s="182"/>
      <c r="D128" s="182"/>
      <c r="E128" s="182"/>
      <c r="F128" s="68">
        <f>SUM(F120:F126)</f>
        <v>0.27040000000000003</v>
      </c>
      <c r="G128" s="183">
        <f>SUM(G120:H126)</f>
        <v>2663.0425613838852</v>
      </c>
      <c r="H128" s="183"/>
    </row>
    <row r="129" spans="1:12" ht="15" customHeight="1" x14ac:dyDescent="0.35">
      <c r="A129" s="10"/>
      <c r="B129" s="10"/>
      <c r="C129" s="10"/>
      <c r="D129" s="10"/>
      <c r="E129" s="10"/>
      <c r="F129" s="10"/>
      <c r="G129" s="46"/>
      <c r="H129" s="46"/>
      <c r="I129" s="10"/>
      <c r="J129" s="11"/>
      <c r="K129" s="10"/>
      <c r="L129" s="10"/>
    </row>
    <row r="130" spans="1:12" ht="15" customHeight="1" x14ac:dyDescent="0.35">
      <c r="A130" s="10"/>
      <c r="B130" s="10"/>
      <c r="C130" s="10"/>
      <c r="D130" s="10"/>
      <c r="E130" s="10"/>
      <c r="F130" s="10"/>
      <c r="G130" s="10"/>
      <c r="H130" s="10"/>
      <c r="I130" s="10"/>
      <c r="J130" s="11"/>
      <c r="K130" s="10"/>
      <c r="L130" s="10"/>
    </row>
    <row r="131" spans="1:12" ht="15" customHeight="1" x14ac:dyDescent="0.35">
      <c r="A131" s="10"/>
      <c r="B131" s="10"/>
      <c r="C131" s="10"/>
      <c r="D131" s="10"/>
      <c r="E131" s="10"/>
      <c r="F131" s="10"/>
      <c r="G131" s="10"/>
      <c r="H131" s="10"/>
      <c r="I131" s="10"/>
      <c r="J131" s="11"/>
      <c r="K131" s="10"/>
      <c r="L131" s="10"/>
    </row>
    <row r="132" spans="1:12" s="52" customFormat="1" ht="15.5" x14ac:dyDescent="0.3">
      <c r="A132" s="184" t="s">
        <v>105</v>
      </c>
      <c r="B132" s="185"/>
      <c r="C132" s="185"/>
      <c r="D132" s="185"/>
      <c r="E132" s="185"/>
      <c r="F132" s="185"/>
      <c r="G132" s="185"/>
      <c r="H132" s="185"/>
    </row>
    <row r="133" spans="1:12" s="52" customFormat="1" ht="13" x14ac:dyDescent="0.3">
      <c r="A133" s="181"/>
      <c r="B133" s="181"/>
      <c r="C133" s="181"/>
      <c r="D133" s="181"/>
      <c r="E133" s="181"/>
      <c r="F133" s="181"/>
      <c r="G133" s="181"/>
      <c r="H133" s="181"/>
      <c r="I133" s="181"/>
    </row>
    <row r="134" spans="1:12" customFormat="1" x14ac:dyDescent="0.35">
      <c r="A134" s="20"/>
      <c r="B134" s="182" t="s">
        <v>67</v>
      </c>
      <c r="C134" s="182"/>
      <c r="D134" s="182"/>
      <c r="E134" s="182"/>
      <c r="F134" s="182"/>
      <c r="G134" s="182"/>
      <c r="H134" s="20" t="s">
        <v>21</v>
      </c>
    </row>
    <row r="135" spans="1:12" customFormat="1" x14ac:dyDescent="0.35">
      <c r="A135" s="20" t="s">
        <v>14</v>
      </c>
      <c r="B135" s="186" t="s">
        <v>68</v>
      </c>
      <c r="C135" s="186"/>
      <c r="D135" s="186"/>
      <c r="E135" s="186"/>
      <c r="F135" s="186"/>
      <c r="G135" s="186"/>
      <c r="H135" s="72">
        <f>I24</f>
        <v>4549.3899999999994</v>
      </c>
    </row>
    <row r="136" spans="1:12" customFormat="1" x14ac:dyDescent="0.35">
      <c r="A136" s="20" t="s">
        <v>15</v>
      </c>
      <c r="B136" s="186" t="s">
        <v>106</v>
      </c>
      <c r="C136" s="186"/>
      <c r="D136" s="186"/>
      <c r="E136" s="186"/>
      <c r="F136" s="186"/>
      <c r="G136" s="186"/>
      <c r="H136" s="72">
        <f>I75</f>
        <v>4409.8203557360002</v>
      </c>
    </row>
    <row r="137" spans="1:12" customFormat="1" x14ac:dyDescent="0.35">
      <c r="A137" s="20" t="s">
        <v>29</v>
      </c>
      <c r="B137" s="186" t="s">
        <v>49</v>
      </c>
      <c r="C137" s="186"/>
      <c r="D137" s="186"/>
      <c r="E137" s="186"/>
      <c r="F137" s="186"/>
      <c r="G137" s="186"/>
      <c r="H137" s="72">
        <f>J86</f>
        <v>300.74703021777771</v>
      </c>
    </row>
    <row r="138" spans="1:12" customFormat="1" x14ac:dyDescent="0.35">
      <c r="A138" s="20" t="s">
        <v>32</v>
      </c>
      <c r="B138" s="189" t="s">
        <v>52</v>
      </c>
      <c r="C138" s="189"/>
      <c r="D138" s="189"/>
      <c r="E138" s="189"/>
      <c r="F138" s="189"/>
      <c r="G138" s="189"/>
      <c r="H138" s="72">
        <f>I105</f>
        <v>472.60446334559998</v>
      </c>
    </row>
    <row r="139" spans="1:12" customFormat="1" x14ac:dyDescent="0.35">
      <c r="A139" s="20" t="s">
        <v>8</v>
      </c>
      <c r="B139" s="186" t="s">
        <v>107</v>
      </c>
      <c r="C139" s="186"/>
      <c r="D139" s="186"/>
      <c r="E139" s="186"/>
      <c r="F139" s="186"/>
      <c r="G139" s="186"/>
      <c r="H139" s="83">
        <f>I114</f>
        <v>115.96833333333332</v>
      </c>
    </row>
    <row r="140" spans="1:12" customFormat="1" ht="13" customHeight="1" x14ac:dyDescent="0.35">
      <c r="A140" s="182" t="s">
        <v>108</v>
      </c>
      <c r="B140" s="182"/>
      <c r="C140" s="182"/>
      <c r="D140" s="182"/>
      <c r="E140" s="182"/>
      <c r="F140" s="182"/>
      <c r="G140" s="182"/>
      <c r="H140" s="73">
        <f>SUM(H135:H139)</f>
        <v>9848.5301826327104</v>
      </c>
    </row>
    <row r="141" spans="1:12" customFormat="1" x14ac:dyDescent="0.35">
      <c r="A141" s="20" t="s">
        <v>35</v>
      </c>
      <c r="B141" s="186" t="s">
        <v>109</v>
      </c>
      <c r="C141" s="186"/>
      <c r="D141" s="186"/>
      <c r="E141" s="186"/>
      <c r="F141" s="186"/>
      <c r="G141" s="186"/>
      <c r="H141" s="72">
        <f>G128</f>
        <v>2663.0425613838852</v>
      </c>
    </row>
    <row r="142" spans="1:12" customFormat="1" ht="13" customHeight="1" x14ac:dyDescent="0.35">
      <c r="A142" s="182" t="s">
        <v>110</v>
      </c>
      <c r="B142" s="182"/>
      <c r="C142" s="182"/>
      <c r="D142" s="182"/>
      <c r="E142" s="182"/>
      <c r="F142" s="182"/>
      <c r="G142" s="182"/>
      <c r="H142" s="74">
        <f>H140+H141</f>
        <v>12511.572744016596</v>
      </c>
    </row>
    <row r="143" spans="1:12" s="52" customFormat="1" ht="13" customHeight="1" x14ac:dyDescent="0.3">
      <c r="A143" s="187" t="s">
        <v>111</v>
      </c>
      <c r="B143" s="187"/>
      <c r="C143" s="187"/>
      <c r="D143" s="187"/>
      <c r="E143" s="187"/>
      <c r="F143" s="187"/>
      <c r="G143" s="187"/>
      <c r="H143" s="75">
        <f>12*H142</f>
        <v>150138.87292819915</v>
      </c>
    </row>
    <row r="144" spans="1:12" s="71" customFormat="1" ht="15" customHeight="1" x14ac:dyDescent="0.3">
      <c r="A144" s="188" t="s">
        <v>112</v>
      </c>
      <c r="B144" s="188"/>
      <c r="C144" s="188"/>
      <c r="D144" s="188"/>
      <c r="E144" s="188"/>
      <c r="F144" s="188"/>
      <c r="G144" s="188"/>
      <c r="H144" s="188"/>
    </row>
    <row r="145" spans="1:8" s="71" customFormat="1" ht="121" customHeight="1" x14ac:dyDescent="0.3">
      <c r="A145" s="189" t="s">
        <v>113</v>
      </c>
      <c r="B145" s="189"/>
      <c r="C145" s="189"/>
      <c r="D145" s="189"/>
      <c r="E145" s="189"/>
      <c r="F145" s="189"/>
      <c r="G145" s="189"/>
      <c r="H145" s="189"/>
    </row>
    <row r="146" spans="1:8" x14ac:dyDescent="0.35">
      <c r="A146" s="27"/>
      <c r="B146" s="27"/>
      <c r="C146" s="27"/>
      <c r="D146" s="27"/>
      <c r="E146" s="27"/>
      <c r="F146" s="27"/>
      <c r="G146" s="27"/>
      <c r="H146" s="27"/>
    </row>
  </sheetData>
  <mergeCells count="143">
    <mergeCell ref="A140:G140"/>
    <mergeCell ref="B141:G141"/>
    <mergeCell ref="A142:G142"/>
    <mergeCell ref="A143:G143"/>
    <mergeCell ref="A144:H144"/>
    <mergeCell ref="A145:H145"/>
    <mergeCell ref="B134:G134"/>
    <mergeCell ref="B135:G135"/>
    <mergeCell ref="B136:G136"/>
    <mergeCell ref="B137:G137"/>
    <mergeCell ref="B138:G138"/>
    <mergeCell ref="B139:G139"/>
    <mergeCell ref="B127:E127"/>
    <mergeCell ref="G127:H127"/>
    <mergeCell ref="A128:E128"/>
    <mergeCell ref="G128:H128"/>
    <mergeCell ref="A132:H132"/>
    <mergeCell ref="A133:I133"/>
    <mergeCell ref="B124:E124"/>
    <mergeCell ref="G124:H124"/>
    <mergeCell ref="B125:E125"/>
    <mergeCell ref="G125:H125"/>
    <mergeCell ref="B126:E126"/>
    <mergeCell ref="G126:H126"/>
    <mergeCell ref="B121:E121"/>
    <mergeCell ref="G121:H121"/>
    <mergeCell ref="B122:E122"/>
    <mergeCell ref="G122:H122"/>
    <mergeCell ref="B123:E123"/>
    <mergeCell ref="G123:H123"/>
    <mergeCell ref="A115:J116"/>
    <mergeCell ref="A117:H117"/>
    <mergeCell ref="A118:J118"/>
    <mergeCell ref="B119:E119"/>
    <mergeCell ref="G119:H119"/>
    <mergeCell ref="B120:E120"/>
    <mergeCell ref="G120:H120"/>
    <mergeCell ref="B109:H109"/>
    <mergeCell ref="B110:H110"/>
    <mergeCell ref="B111:H111"/>
    <mergeCell ref="B112:H112"/>
    <mergeCell ref="B113:H113"/>
    <mergeCell ref="A114:H114"/>
    <mergeCell ref="B102:H102"/>
    <mergeCell ref="B103:H103"/>
    <mergeCell ref="B104:H104"/>
    <mergeCell ref="A105:H105"/>
    <mergeCell ref="A106:J107"/>
    <mergeCell ref="A108:I108"/>
    <mergeCell ref="B95:H95"/>
    <mergeCell ref="B96:H96"/>
    <mergeCell ref="B97:H97"/>
    <mergeCell ref="B98:H98"/>
    <mergeCell ref="A99:K100"/>
    <mergeCell ref="A101:I101"/>
    <mergeCell ref="A89:J89"/>
    <mergeCell ref="A90:J90"/>
    <mergeCell ref="B91:H91"/>
    <mergeCell ref="B92:H92"/>
    <mergeCell ref="B93:H93"/>
    <mergeCell ref="B94:H94"/>
    <mergeCell ref="B82:H82"/>
    <mergeCell ref="B83:H83"/>
    <mergeCell ref="B84:H84"/>
    <mergeCell ref="B85:H85"/>
    <mergeCell ref="B86:H86"/>
    <mergeCell ref="A87:J88"/>
    <mergeCell ref="A75:H75"/>
    <mergeCell ref="A76:K77"/>
    <mergeCell ref="A78:J78"/>
    <mergeCell ref="B79:H79"/>
    <mergeCell ref="B80:H80"/>
    <mergeCell ref="B81:H81"/>
    <mergeCell ref="A68:J69"/>
    <mergeCell ref="A70:I70"/>
    <mergeCell ref="B71:H71"/>
    <mergeCell ref="B72:H72"/>
    <mergeCell ref="B73:H73"/>
    <mergeCell ref="B74:H74"/>
    <mergeCell ref="B62:G62"/>
    <mergeCell ref="B63:H63"/>
    <mergeCell ref="B64:H64"/>
    <mergeCell ref="B65:H65"/>
    <mergeCell ref="B66:H66"/>
    <mergeCell ref="A67:I67"/>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7" workbookViewId="0">
      <selection activeCell="B59" sqref="B59:H5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137</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134</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114</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80</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115</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45047</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116</v>
      </c>
      <c r="C22" s="98"/>
      <c r="D22" s="98"/>
      <c r="E22" s="98"/>
      <c r="F22" s="98"/>
      <c r="G22" s="98"/>
      <c r="H22" s="98"/>
      <c r="I22" s="28">
        <v>2322.9699999999998</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135</v>
      </c>
      <c r="C23" s="140"/>
      <c r="D23" s="140"/>
      <c r="E23" s="140"/>
      <c r="F23" s="140"/>
      <c r="G23" s="140"/>
      <c r="H23" s="43">
        <v>0.2</v>
      </c>
      <c r="I23" s="32">
        <f>ROUND(H23*I22,2)</f>
        <v>464.59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3">
        <f>SUM(I22:I23)</f>
        <v>2787.56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117</v>
      </c>
      <c r="C31" s="127"/>
      <c r="D31" s="127"/>
      <c r="E31" s="127"/>
      <c r="F31" s="127"/>
      <c r="G31" s="128"/>
      <c r="H31" s="23">
        <v>8.3299999999999999E-2</v>
      </c>
      <c r="I31" s="34">
        <f>I24*H31</f>
        <v>232.20374799999999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118</v>
      </c>
      <c r="C32" s="130"/>
      <c r="D32" s="130"/>
      <c r="E32" s="130"/>
      <c r="F32" s="130"/>
      <c r="G32" s="131"/>
      <c r="H32" s="23">
        <v>0.121</v>
      </c>
      <c r="I32" s="34">
        <f>I24*H32</f>
        <v>337.29476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5">
        <f>SUM(H31:H32)</f>
        <v>0.20429999999999998</v>
      </c>
      <c r="I33" s="33">
        <f>SUM(I31+I32)</f>
        <v>569.49850800000002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77</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671.41170160000001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83.926462700000002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76</v>
      </c>
      <c r="C41" s="150"/>
      <c r="D41" s="5" t="s">
        <v>30</v>
      </c>
      <c r="E41" s="29">
        <v>0.03</v>
      </c>
      <c r="F41" s="5" t="s">
        <v>31</v>
      </c>
      <c r="G41" s="30">
        <v>1</v>
      </c>
      <c r="H41" s="23">
        <f>ROUND((E41*G41),6)</f>
        <v>0.03</v>
      </c>
      <c r="I41" s="32">
        <f>(I24+I33)*H41</f>
        <v>100.71175524</v>
      </c>
      <c r="J41" s="40" t="s">
        <v>81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50.355877620000001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33.570585080000001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20.142351048000002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6.7141170160000003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8">
        <f>SUM(H39:H45)</f>
        <v>0.28800000000000003</v>
      </c>
      <c r="I46" s="28">
        <f>SUM(I39:I45)</f>
        <v>966.83285030400009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268.56468064000001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4">
        <f>H46+H47</f>
        <v>0.36800000000000005</v>
      </c>
      <c r="I48" s="33">
        <f>I46+I47</f>
        <v>1235.3975309440002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78</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141</v>
      </c>
      <c r="C54" s="98"/>
      <c r="D54" s="98"/>
      <c r="E54" s="98"/>
      <c r="F54" s="98"/>
      <c r="G54" s="98"/>
      <c r="H54" s="98"/>
      <c r="I54" s="24">
        <f>(5.5*2*22)-(I22/100)*6</f>
        <v>102.62180000000001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82</v>
      </c>
      <c r="C58" s="152"/>
      <c r="D58" s="152"/>
      <c r="E58" s="152"/>
      <c r="F58" s="152"/>
      <c r="G58" s="152"/>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142</v>
      </c>
      <c r="C59" s="98"/>
      <c r="D59" s="98"/>
      <c r="E59" s="98"/>
      <c r="F59" s="98"/>
      <c r="G59" s="98"/>
      <c r="H59" s="98"/>
      <c r="I59" s="32">
        <v>28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30.5" customHeight="1" x14ac:dyDescent="0.35">
      <c r="A60" s="4"/>
      <c r="B60" s="151" t="s">
        <v>119</v>
      </c>
      <c r="C60" s="151"/>
      <c r="D60" s="151"/>
      <c r="E60" s="151"/>
      <c r="F60" s="151"/>
      <c r="G60" s="151"/>
      <c r="H60" s="38">
        <f>I59*H61</f>
        <v>616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90" t="s">
        <v>44</v>
      </c>
      <c r="C61" s="191"/>
      <c r="D61" s="191"/>
      <c r="E61" s="191"/>
      <c r="F61" s="191"/>
      <c r="G61" s="19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6">
        <v>0.05</v>
      </c>
      <c r="I62" s="24">
        <f>H62*H60</f>
        <v>30.8</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139</v>
      </c>
      <c r="C63" s="98"/>
      <c r="D63" s="98"/>
      <c r="E63" s="98"/>
      <c r="F63" s="98"/>
      <c r="G63" s="98"/>
      <c r="H63" s="9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6" t="s">
        <v>1</v>
      </c>
      <c r="C64" s="146"/>
      <c r="D64" s="146"/>
      <c r="E64" s="146"/>
      <c r="F64" s="146"/>
      <c r="G64" s="146"/>
      <c r="H64" s="146"/>
      <c r="I64" s="8">
        <f>(I54+H60-I62)</f>
        <v>687.82180000000005</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1" t="s">
        <v>46</v>
      </c>
      <c r="B65" s="161"/>
      <c r="C65" s="161"/>
      <c r="D65" s="161"/>
      <c r="E65" s="161"/>
      <c r="F65" s="161"/>
      <c r="G65" s="161"/>
      <c r="H65" s="161"/>
      <c r="I65" s="161"/>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6" t="s">
        <v>79</v>
      </c>
      <c r="B68" s="96"/>
      <c r="C68" s="96"/>
      <c r="D68" s="96"/>
      <c r="E68" s="96"/>
      <c r="F68" s="96"/>
      <c r="G68" s="96"/>
      <c r="H68" s="96"/>
      <c r="I68" s="96"/>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7" t="s">
        <v>47</v>
      </c>
      <c r="C69" s="97"/>
      <c r="D69" s="97"/>
      <c r="E69" s="97"/>
      <c r="F69" s="97"/>
      <c r="G69" s="97"/>
      <c r="H69" s="9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569.49850800000002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1235.3975309440002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687.82180000000005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7" t="s">
        <v>1</v>
      </c>
      <c r="B73" s="97"/>
      <c r="C73" s="97"/>
      <c r="D73" s="97"/>
      <c r="E73" s="97"/>
      <c r="F73" s="97"/>
      <c r="G73" s="97"/>
      <c r="H73" s="97"/>
      <c r="I73" s="39">
        <f>SUM(I70+I71+I72)</f>
        <v>2492.7178389440005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1"/>
      <c r="B74" s="171"/>
      <c r="C74" s="171"/>
      <c r="D74" s="171"/>
      <c r="E74" s="171"/>
      <c r="F74" s="171"/>
      <c r="G74" s="171"/>
      <c r="H74" s="171"/>
      <c r="I74" s="171"/>
      <c r="J74" s="171"/>
      <c r="K74" s="172"/>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5" t="s">
        <v>49</v>
      </c>
      <c r="B76" s="125"/>
      <c r="C76" s="125"/>
      <c r="D76" s="125"/>
      <c r="E76" s="125"/>
      <c r="F76" s="125"/>
      <c r="G76" s="125"/>
      <c r="H76" s="125"/>
      <c r="I76" s="125"/>
      <c r="J76" s="125"/>
      <c r="K76" s="15"/>
    </row>
    <row r="77" spans="1:256" x14ac:dyDescent="0.35">
      <c r="A77" s="6">
        <v>3</v>
      </c>
      <c r="B77" s="146" t="s">
        <v>50</v>
      </c>
      <c r="C77" s="146"/>
      <c r="D77" s="146"/>
      <c r="E77" s="146"/>
      <c r="F77" s="146"/>
      <c r="G77" s="146"/>
      <c r="H77" s="146"/>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93</v>
      </c>
      <c r="C78" s="98"/>
      <c r="D78" s="98"/>
      <c r="E78" s="98"/>
      <c r="F78" s="98"/>
      <c r="G78" s="98"/>
      <c r="H78" s="98"/>
      <c r="I78" s="26">
        <f>(1/12*0.05*100%)</f>
        <v>4.1666666666666666E-3</v>
      </c>
      <c r="J78" s="32">
        <f>I24*I78</f>
        <v>11.614833333333333</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4" t="s">
        <v>83</v>
      </c>
      <c r="C79" s="165"/>
      <c r="D79" s="165"/>
      <c r="E79" s="165"/>
      <c r="F79" s="165"/>
      <c r="G79" s="165"/>
      <c r="H79" s="166"/>
      <c r="I79" s="50">
        <f>(8%*0.42%)</f>
        <v>3.3599999999999998E-4</v>
      </c>
      <c r="J79" s="32">
        <f>I24*I79</f>
        <v>0.93662015999999992</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2" t="s">
        <v>84</v>
      </c>
      <c r="C80" s="162"/>
      <c r="D80" s="162"/>
      <c r="E80" s="162"/>
      <c r="F80" s="162"/>
      <c r="G80" s="162"/>
      <c r="H80" s="162"/>
      <c r="I80" s="53">
        <f>(((1+2/12+(1/3*1/12))*(0.08*0.4*0.9*100%)))</f>
        <v>3.44E-2</v>
      </c>
      <c r="J80" s="32">
        <f>I24*I80</f>
        <v>95.892064000000005</v>
      </c>
      <c r="K80" s="81"/>
      <c r="L80" s="55"/>
    </row>
    <row r="81" spans="1:256" ht="31.75" customHeight="1" x14ac:dyDescent="0.35">
      <c r="A81" s="4" t="s">
        <v>32</v>
      </c>
      <c r="B81" s="98" t="s">
        <v>87</v>
      </c>
      <c r="C81" s="98"/>
      <c r="D81" s="98"/>
      <c r="E81" s="98"/>
      <c r="F81" s="98"/>
      <c r="G81" s="98"/>
      <c r="H81" s="98"/>
      <c r="I81" s="57">
        <f>(7/30)/12*100%</f>
        <v>1.9444444444444445E-2</v>
      </c>
      <c r="J81" s="32">
        <f>I24*I81</f>
        <v>54.202555555555556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3" t="s">
        <v>85</v>
      </c>
      <c r="C82" s="163"/>
      <c r="D82" s="163"/>
      <c r="E82" s="163"/>
      <c r="F82" s="163"/>
      <c r="G82" s="163"/>
      <c r="H82" s="163"/>
      <c r="I82" s="23">
        <f>36.8%*1.94%</f>
        <v>7.1392000000000001E-3</v>
      </c>
      <c r="J82" s="32">
        <f>I24*I82</f>
        <v>19.900948352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4" t="s">
        <v>94</v>
      </c>
      <c r="C83" s="165"/>
      <c r="D83" s="165"/>
      <c r="E83" s="165"/>
      <c r="F83" s="165"/>
      <c r="G83" s="165"/>
      <c r="H83" s="166"/>
      <c r="I83" s="56">
        <f>0.08*0.0194*0.4*100%</f>
        <v>6.2080000000000002E-4</v>
      </c>
      <c r="J83" s="32">
        <f>I24*I83</f>
        <v>1.730517248</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2" t="s">
        <v>97</v>
      </c>
      <c r="C84" s="133"/>
      <c r="D84" s="133"/>
      <c r="E84" s="133"/>
      <c r="F84" s="133"/>
      <c r="G84" s="133"/>
      <c r="H84" s="134"/>
      <c r="I84" s="54">
        <f>SUM(I78:I83)</f>
        <v>6.6107111111111116E-2</v>
      </c>
      <c r="J84" s="33">
        <f>SUM(J78:J83)</f>
        <v>184.27753864888891</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7"/>
      <c r="B85" s="167"/>
      <c r="C85" s="167"/>
      <c r="D85" s="167"/>
      <c r="E85" s="167"/>
      <c r="F85" s="167"/>
      <c r="G85" s="167"/>
      <c r="H85" s="167"/>
      <c r="I85" s="167"/>
      <c r="J85" s="168"/>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9"/>
      <c r="B86" s="169"/>
      <c r="C86" s="169"/>
      <c r="D86" s="169"/>
      <c r="E86" s="169"/>
      <c r="F86" s="169"/>
      <c r="G86" s="169"/>
      <c r="H86" s="169"/>
      <c r="I86" s="169"/>
      <c r="J86" s="17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6" t="s">
        <v>52</v>
      </c>
      <c r="B87" s="96"/>
      <c r="C87" s="96"/>
      <c r="D87" s="96"/>
      <c r="E87" s="96"/>
      <c r="F87" s="96"/>
      <c r="G87" s="96"/>
      <c r="H87" s="96"/>
      <c r="I87" s="96"/>
      <c r="J87" s="96"/>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6" t="s">
        <v>53</v>
      </c>
      <c r="B88" s="96"/>
      <c r="C88" s="96"/>
      <c r="D88" s="96"/>
      <c r="E88" s="96"/>
      <c r="F88" s="96"/>
      <c r="G88" s="96"/>
      <c r="H88" s="96"/>
      <c r="I88" s="96"/>
      <c r="J88" s="96"/>
      <c r="K88" s="82"/>
    </row>
    <row r="89" spans="1:256" ht="15.75" customHeight="1" x14ac:dyDescent="0.35">
      <c r="A89" s="7" t="s">
        <v>54</v>
      </c>
      <c r="B89" s="146" t="s">
        <v>55</v>
      </c>
      <c r="C89" s="146"/>
      <c r="D89" s="146"/>
      <c r="E89" s="146"/>
      <c r="F89" s="146"/>
      <c r="G89" s="146"/>
      <c r="H89" s="146"/>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0" t="s">
        <v>92</v>
      </c>
      <c r="C90" s="140"/>
      <c r="D90" s="140"/>
      <c r="E90" s="140"/>
      <c r="F90" s="140"/>
      <c r="G90" s="140"/>
      <c r="H90" s="140"/>
      <c r="I90" s="57">
        <f>1/12</f>
        <v>8.3333333333333329E-2</v>
      </c>
      <c r="J90" s="32">
        <f>I24*I90</f>
        <v>232.29666666666665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91</v>
      </c>
      <c r="C91" s="98"/>
      <c r="D91" s="98"/>
      <c r="E91" s="98"/>
      <c r="F91" s="98"/>
      <c r="G91" s="98"/>
      <c r="H91" s="98"/>
      <c r="I91" s="57">
        <f>(5/30/12)*100%</f>
        <v>1.3888888888888888E-2</v>
      </c>
      <c r="J91" s="32">
        <f>I24*I91</f>
        <v>38.716111111111111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90</v>
      </c>
      <c r="C92" s="98"/>
      <c r="D92" s="98"/>
      <c r="E92" s="98"/>
      <c r="F92" s="98"/>
      <c r="G92" s="98"/>
      <c r="H92" s="98"/>
      <c r="I92" s="57">
        <f>(5/30/12)*0.015*100%</f>
        <v>2.0833333333333332E-4</v>
      </c>
      <c r="J92" s="32">
        <f>I24*I92</f>
        <v>0.5807416666666666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96</v>
      </c>
      <c r="C93" s="98"/>
      <c r="D93" s="98"/>
      <c r="E93" s="98"/>
      <c r="F93" s="98"/>
      <c r="G93" s="98"/>
      <c r="H93" s="98"/>
      <c r="I93" s="60">
        <f>(1/12)*0.0178*100%/2</f>
        <v>7.4166666666666662E-4</v>
      </c>
      <c r="J93" s="32">
        <f>I24*I93</f>
        <v>2.0674403333333333</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95</v>
      </c>
      <c r="C94" s="98"/>
      <c r="D94" s="98"/>
      <c r="E94" s="98"/>
      <c r="F94" s="98"/>
      <c r="G94" s="98"/>
      <c r="H94" s="98"/>
      <c r="I94" s="60">
        <f>11.11%*5.28%*50%</f>
        <v>2.9330399999999996E-3</v>
      </c>
      <c r="J94" s="32">
        <f>I24*I94</f>
        <v>8.1760249823999995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89</v>
      </c>
      <c r="C95" s="98"/>
      <c r="D95" s="98"/>
      <c r="E95" s="98"/>
      <c r="F95" s="98"/>
      <c r="G95" s="98"/>
      <c r="H95" s="98"/>
      <c r="I95" s="57">
        <f>(1/30/12)*100%</f>
        <v>2.7777777777777779E-3</v>
      </c>
      <c r="J95" s="32">
        <f>I24*I95</f>
        <v>7.7432222222222222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2" t="s">
        <v>97</v>
      </c>
      <c r="C96" s="133"/>
      <c r="D96" s="133"/>
      <c r="E96" s="133"/>
      <c r="F96" s="133"/>
      <c r="G96" s="133"/>
      <c r="H96" s="134"/>
      <c r="I96" s="61">
        <f>SUM(I90:I95)</f>
        <v>0.10388304</v>
      </c>
      <c r="J96" s="41">
        <f>SUM(J90:J95)</f>
        <v>289.5802069824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3"/>
      <c r="B97" s="173"/>
      <c r="C97" s="173"/>
      <c r="D97" s="173"/>
      <c r="E97" s="173"/>
      <c r="F97" s="173"/>
      <c r="G97" s="173"/>
      <c r="H97" s="173"/>
      <c r="I97" s="173"/>
      <c r="J97" s="173"/>
      <c r="K97" s="17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6" t="s">
        <v>58</v>
      </c>
      <c r="B99" s="96"/>
      <c r="C99" s="96"/>
      <c r="D99" s="96"/>
      <c r="E99" s="96"/>
      <c r="F99" s="96"/>
      <c r="G99" s="96"/>
      <c r="H99" s="96"/>
      <c r="I99" s="96"/>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6" t="s">
        <v>59</v>
      </c>
      <c r="C100" s="146"/>
      <c r="D100" s="146"/>
      <c r="E100" s="146"/>
      <c r="F100" s="146"/>
      <c r="G100" s="146"/>
      <c r="H100" s="14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3" t="s">
        <v>55</v>
      </c>
      <c r="C101" s="163"/>
      <c r="D101" s="163"/>
      <c r="E101" s="163"/>
      <c r="F101" s="163"/>
      <c r="G101" s="163"/>
      <c r="H101" s="163"/>
      <c r="I101" s="32">
        <f>J96</f>
        <v>289.5802069824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3" t="s">
        <v>57</v>
      </c>
      <c r="C102" s="163"/>
      <c r="D102" s="163"/>
      <c r="E102" s="163"/>
      <c r="F102" s="163"/>
      <c r="G102" s="163"/>
      <c r="H102" s="16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7" t="s">
        <v>1</v>
      </c>
      <c r="B103" s="97"/>
      <c r="C103" s="97"/>
      <c r="D103" s="97"/>
      <c r="E103" s="97"/>
      <c r="F103" s="97"/>
      <c r="G103" s="97"/>
      <c r="H103" s="97"/>
      <c r="I103" s="33">
        <f>SUM(I101+I102)</f>
        <v>289.5802069824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5"/>
      <c r="B104" s="175"/>
      <c r="C104" s="175"/>
      <c r="D104" s="175"/>
      <c r="E104" s="175"/>
      <c r="F104" s="175"/>
      <c r="G104" s="175"/>
      <c r="H104" s="175"/>
      <c r="I104" s="175"/>
      <c r="J104" s="17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6" t="s">
        <v>60</v>
      </c>
      <c r="B106" s="96"/>
      <c r="C106" s="96"/>
      <c r="D106" s="96"/>
      <c r="E106" s="96"/>
      <c r="F106" s="96"/>
      <c r="G106" s="96"/>
      <c r="H106" s="96"/>
      <c r="I106" s="96"/>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7" t="s">
        <v>61</v>
      </c>
      <c r="C107" s="97"/>
      <c r="D107" s="97"/>
      <c r="E107" s="97"/>
      <c r="F107" s="97"/>
      <c r="G107" s="97"/>
      <c r="H107" s="9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3" t="s">
        <v>64</v>
      </c>
      <c r="C110" s="163"/>
      <c r="D110" s="163"/>
      <c r="E110" s="163"/>
      <c r="F110" s="163"/>
      <c r="G110" s="163"/>
      <c r="H110" s="16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2" t="s">
        <v>1</v>
      </c>
      <c r="B112" s="133"/>
      <c r="C112" s="133"/>
      <c r="D112" s="133"/>
      <c r="E112" s="133"/>
      <c r="F112" s="133"/>
      <c r="G112" s="133"/>
      <c r="H112" s="134"/>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5"/>
      <c r="B113" s="175"/>
      <c r="C113" s="175"/>
      <c r="D113" s="175"/>
      <c r="E113" s="175"/>
      <c r="F113" s="175"/>
      <c r="G113" s="175"/>
      <c r="H113" s="175"/>
      <c r="I113" s="175"/>
      <c r="J113" s="17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5"/>
      <c r="B114" s="175"/>
      <c r="C114" s="175"/>
      <c r="D114" s="175"/>
      <c r="E114" s="175"/>
      <c r="F114" s="175"/>
      <c r="G114" s="175"/>
      <c r="H114" s="175"/>
      <c r="I114" s="175"/>
      <c r="J114" s="176"/>
      <c r="K114" s="10"/>
      <c r="L114" s="10"/>
    </row>
    <row r="115" spans="1:256" s="52" customFormat="1" ht="15.5" x14ac:dyDescent="0.3">
      <c r="A115" s="178" t="s">
        <v>98</v>
      </c>
      <c r="B115" s="179"/>
      <c r="C115" s="179"/>
      <c r="D115" s="179"/>
      <c r="E115" s="179"/>
      <c r="F115" s="179"/>
      <c r="G115" s="179"/>
      <c r="H115" s="180"/>
    </row>
    <row r="116" spans="1:256" s="52" customFormat="1" ht="13" x14ac:dyDescent="0.3">
      <c r="A116" s="181"/>
      <c r="B116" s="181"/>
      <c r="C116" s="181"/>
      <c r="D116" s="181"/>
      <c r="E116" s="181"/>
      <c r="F116" s="181"/>
      <c r="G116" s="181"/>
      <c r="H116" s="181"/>
      <c r="I116" s="181"/>
      <c r="J116" s="181"/>
    </row>
    <row r="117" spans="1:256" s="69" customFormat="1" ht="29" customHeight="1" x14ac:dyDescent="0.35">
      <c r="A117" s="20">
        <v>6</v>
      </c>
      <c r="B117" s="162" t="s">
        <v>99</v>
      </c>
      <c r="C117" s="162"/>
      <c r="D117" s="162"/>
      <c r="E117" s="162"/>
      <c r="F117" s="20" t="s">
        <v>25</v>
      </c>
      <c r="G117" s="182" t="s">
        <v>21</v>
      </c>
      <c r="H117" s="182"/>
    </row>
    <row r="118" spans="1:256" s="69" customFormat="1" x14ac:dyDescent="0.35">
      <c r="A118" s="20" t="s">
        <v>14</v>
      </c>
      <c r="B118" s="162" t="s">
        <v>5</v>
      </c>
      <c r="C118" s="162"/>
      <c r="D118" s="162"/>
      <c r="E118" s="162"/>
      <c r="F118" s="70">
        <v>0.06</v>
      </c>
      <c r="G118" s="177">
        <f>(I24+I73+J84+I103+I112)*F118</f>
        <v>345.24813507451739</v>
      </c>
      <c r="H118" s="177"/>
    </row>
    <row r="119" spans="1:256" s="69" customFormat="1" x14ac:dyDescent="0.35">
      <c r="A119" s="20" t="s">
        <v>15</v>
      </c>
      <c r="B119" s="162" t="s">
        <v>7</v>
      </c>
      <c r="C119" s="162"/>
      <c r="D119" s="162"/>
      <c r="E119" s="162"/>
      <c r="F119" s="70">
        <v>6.7900000000000002E-2</v>
      </c>
      <c r="G119" s="177">
        <f>(I24+I73+J84+I103+I112)*F119</f>
        <v>390.70580619266224</v>
      </c>
      <c r="H119" s="177"/>
    </row>
    <row r="120" spans="1:256" s="69" customFormat="1" x14ac:dyDescent="0.35">
      <c r="A120" s="20" t="s">
        <v>29</v>
      </c>
      <c r="B120" s="162" t="s">
        <v>6</v>
      </c>
      <c r="C120" s="162"/>
      <c r="D120" s="162"/>
      <c r="E120" s="162"/>
      <c r="F120" s="70"/>
      <c r="G120" s="177"/>
      <c r="H120" s="177"/>
    </row>
    <row r="121" spans="1:256" s="69" customFormat="1" x14ac:dyDescent="0.35">
      <c r="A121" s="20"/>
      <c r="B121" s="162" t="s">
        <v>100</v>
      </c>
      <c r="C121" s="162"/>
      <c r="D121" s="162"/>
      <c r="E121" s="162"/>
      <c r="F121" s="66">
        <v>1.6500000000000001E-2</v>
      </c>
      <c r="G121" s="177">
        <f>(I24+I73+J84+I103+I112)*F121</f>
        <v>94.943237145492304</v>
      </c>
      <c r="H121" s="177"/>
      <c r="I121" s="67" t="s">
        <v>101</v>
      </c>
    </row>
    <row r="122" spans="1:256" s="69" customFormat="1" x14ac:dyDescent="0.35">
      <c r="A122" s="20"/>
      <c r="B122" s="162" t="s">
        <v>102</v>
      </c>
      <c r="C122" s="162"/>
      <c r="D122" s="162"/>
      <c r="E122" s="162"/>
      <c r="F122" s="66">
        <v>7.5999999999999998E-2</v>
      </c>
      <c r="G122" s="177">
        <f>(I24+I73+J84+I103+I112)*F122</f>
        <v>437.31430442772205</v>
      </c>
      <c r="H122" s="177"/>
      <c r="I122" s="67" t="s">
        <v>101</v>
      </c>
    </row>
    <row r="123" spans="1:256" s="69" customFormat="1" x14ac:dyDescent="0.35">
      <c r="A123" s="20"/>
      <c r="B123" s="162" t="s">
        <v>103</v>
      </c>
      <c r="C123" s="162"/>
      <c r="D123" s="162"/>
      <c r="E123" s="162"/>
      <c r="F123" s="70"/>
      <c r="G123" s="177"/>
      <c r="H123" s="177"/>
    </row>
    <row r="124" spans="1:256" s="69" customFormat="1" x14ac:dyDescent="0.35">
      <c r="A124" s="20"/>
      <c r="B124" s="162" t="s">
        <v>120</v>
      </c>
      <c r="C124" s="162"/>
      <c r="D124" s="162"/>
      <c r="E124" s="162"/>
      <c r="F124" s="66">
        <v>0.05</v>
      </c>
      <c r="G124" s="177">
        <f>(I24+I73+J84+I103+I112)*F124</f>
        <v>287.70677922876456</v>
      </c>
      <c r="H124" s="177"/>
    </row>
    <row r="125" spans="1:256" s="69" customFormat="1" x14ac:dyDescent="0.35">
      <c r="A125" s="20"/>
      <c r="B125" s="162" t="s">
        <v>97</v>
      </c>
      <c r="C125" s="162"/>
      <c r="D125" s="162"/>
      <c r="E125" s="162"/>
      <c r="G125" s="177"/>
      <c r="H125" s="177"/>
    </row>
    <row r="126" spans="1:256" s="69" customFormat="1" x14ac:dyDescent="0.35">
      <c r="A126" s="182" t="s">
        <v>104</v>
      </c>
      <c r="B126" s="182"/>
      <c r="C126" s="182"/>
      <c r="D126" s="182"/>
      <c r="E126" s="182"/>
      <c r="F126" s="68">
        <f>SUM(F118:F124)</f>
        <v>0.27040000000000003</v>
      </c>
      <c r="G126" s="183">
        <f>SUM(G118:H124)</f>
        <v>1555.9182620691586</v>
      </c>
      <c r="H126" s="183"/>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4" t="s">
        <v>105</v>
      </c>
      <c r="B130" s="185"/>
      <c r="C130" s="185"/>
      <c r="D130" s="185"/>
      <c r="E130" s="185"/>
      <c r="F130" s="185"/>
      <c r="G130" s="185"/>
      <c r="H130" s="185"/>
    </row>
    <row r="131" spans="1:12" s="52" customFormat="1" ht="13" x14ac:dyDescent="0.3">
      <c r="A131" s="181"/>
      <c r="B131" s="181"/>
      <c r="C131" s="181"/>
      <c r="D131" s="181"/>
      <c r="E131" s="181"/>
      <c r="F131" s="181"/>
      <c r="G131" s="181"/>
      <c r="H131" s="181"/>
      <c r="I131" s="181"/>
    </row>
    <row r="132" spans="1:12" customFormat="1" x14ac:dyDescent="0.35">
      <c r="A132" s="20"/>
      <c r="B132" s="182" t="s">
        <v>67</v>
      </c>
      <c r="C132" s="182"/>
      <c r="D132" s="182"/>
      <c r="E132" s="182"/>
      <c r="F132" s="182"/>
      <c r="G132" s="182"/>
      <c r="H132" s="20" t="s">
        <v>21</v>
      </c>
    </row>
    <row r="133" spans="1:12" customFormat="1" x14ac:dyDescent="0.35">
      <c r="A133" s="20" t="s">
        <v>14</v>
      </c>
      <c r="B133" s="186" t="s">
        <v>68</v>
      </c>
      <c r="C133" s="186"/>
      <c r="D133" s="186"/>
      <c r="E133" s="186"/>
      <c r="F133" s="186"/>
      <c r="G133" s="186"/>
      <c r="H133" s="72">
        <f>I24</f>
        <v>2787.56</v>
      </c>
    </row>
    <row r="134" spans="1:12" customFormat="1" x14ac:dyDescent="0.35">
      <c r="A134" s="20" t="s">
        <v>15</v>
      </c>
      <c r="B134" s="186" t="s">
        <v>106</v>
      </c>
      <c r="C134" s="186"/>
      <c r="D134" s="186"/>
      <c r="E134" s="186"/>
      <c r="F134" s="186"/>
      <c r="G134" s="186"/>
      <c r="H134" s="72">
        <f>I73</f>
        <v>2492.7178389440005</v>
      </c>
    </row>
    <row r="135" spans="1:12" customFormat="1" x14ac:dyDescent="0.35">
      <c r="A135" s="20" t="s">
        <v>29</v>
      </c>
      <c r="B135" s="186" t="s">
        <v>49</v>
      </c>
      <c r="C135" s="186"/>
      <c r="D135" s="186"/>
      <c r="E135" s="186"/>
      <c r="F135" s="186"/>
      <c r="G135" s="186"/>
      <c r="H135" s="72">
        <f>J84</f>
        <v>184.27753864888891</v>
      </c>
    </row>
    <row r="136" spans="1:12" customFormat="1" x14ac:dyDescent="0.35">
      <c r="A136" s="20" t="s">
        <v>32</v>
      </c>
      <c r="B136" s="189" t="s">
        <v>52</v>
      </c>
      <c r="C136" s="189"/>
      <c r="D136" s="189"/>
      <c r="E136" s="189"/>
      <c r="F136" s="189"/>
      <c r="G136" s="189"/>
      <c r="H136" s="72">
        <f>I103</f>
        <v>289.5802069824</v>
      </c>
    </row>
    <row r="137" spans="1:12" customFormat="1" x14ac:dyDescent="0.35">
      <c r="A137" s="20" t="s">
        <v>8</v>
      </c>
      <c r="B137" s="186" t="s">
        <v>107</v>
      </c>
      <c r="C137" s="186"/>
      <c r="D137" s="186"/>
      <c r="E137" s="186"/>
      <c r="F137" s="186"/>
      <c r="G137" s="186"/>
      <c r="H137" s="83">
        <f>I112</f>
        <v>0</v>
      </c>
    </row>
    <row r="138" spans="1:12" customFormat="1" ht="13" customHeight="1" x14ac:dyDescent="0.35">
      <c r="A138" s="182" t="s">
        <v>108</v>
      </c>
      <c r="B138" s="182"/>
      <c r="C138" s="182"/>
      <c r="D138" s="182"/>
      <c r="E138" s="182"/>
      <c r="F138" s="182"/>
      <c r="G138" s="182"/>
      <c r="H138" s="73">
        <f>SUM(H133:H137)</f>
        <v>5754.1355845752905</v>
      </c>
    </row>
    <row r="139" spans="1:12" customFormat="1" x14ac:dyDescent="0.35">
      <c r="A139" s="20" t="s">
        <v>35</v>
      </c>
      <c r="B139" s="186" t="s">
        <v>109</v>
      </c>
      <c r="C139" s="186"/>
      <c r="D139" s="186"/>
      <c r="E139" s="186"/>
      <c r="F139" s="186"/>
      <c r="G139" s="186"/>
      <c r="H139" s="72">
        <f>G126</f>
        <v>1555.9182620691586</v>
      </c>
    </row>
    <row r="140" spans="1:12" customFormat="1" ht="13" customHeight="1" x14ac:dyDescent="0.35">
      <c r="A140" s="182" t="s">
        <v>110</v>
      </c>
      <c r="B140" s="182"/>
      <c r="C140" s="182"/>
      <c r="D140" s="182"/>
      <c r="E140" s="182"/>
      <c r="F140" s="182"/>
      <c r="G140" s="182"/>
      <c r="H140" s="74">
        <f>H138+H139</f>
        <v>7310.0538466444486</v>
      </c>
    </row>
    <row r="141" spans="1:12" s="52" customFormat="1" ht="13" customHeight="1" x14ac:dyDescent="0.3">
      <c r="A141" s="187" t="s">
        <v>111</v>
      </c>
      <c r="B141" s="187"/>
      <c r="C141" s="187"/>
      <c r="D141" s="187"/>
      <c r="E141" s="187"/>
      <c r="F141" s="187"/>
      <c r="G141" s="187"/>
      <c r="H141" s="75">
        <f>12*H140</f>
        <v>87720.646159733384</v>
      </c>
    </row>
    <row r="142" spans="1:12" s="71" customFormat="1" ht="15" customHeight="1" x14ac:dyDescent="0.3">
      <c r="A142" s="188" t="s">
        <v>112</v>
      </c>
      <c r="B142" s="188"/>
      <c r="C142" s="188"/>
      <c r="D142" s="188"/>
      <c r="E142" s="188"/>
      <c r="F142" s="188"/>
      <c r="G142" s="188"/>
      <c r="H142" s="188"/>
    </row>
    <row r="143" spans="1:12" s="71" customFormat="1" ht="121" customHeight="1" x14ac:dyDescent="0.3">
      <c r="A143" s="189" t="s">
        <v>113</v>
      </c>
      <c r="B143" s="189"/>
      <c r="C143" s="189"/>
      <c r="D143" s="189"/>
      <c r="E143" s="189"/>
      <c r="F143" s="189"/>
      <c r="G143" s="189"/>
      <c r="H143" s="189"/>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BAE0-ADEB-41D1-A336-44EBD1DE72DA}">
  <dimension ref="A1:D7"/>
  <sheetViews>
    <sheetView tabSelected="1" workbookViewId="0">
      <selection activeCell="K13" sqref="K13"/>
    </sheetView>
  </sheetViews>
  <sheetFormatPr defaultRowHeight="14.5" x14ac:dyDescent="0.35"/>
  <cols>
    <col min="1" max="1" width="39.54296875" bestFit="1" customWidth="1"/>
    <col min="3" max="3" width="11.54296875" bestFit="1" customWidth="1"/>
    <col min="4" max="4" width="12" customWidth="1"/>
  </cols>
  <sheetData>
    <row r="1" spans="1:4" ht="43.5" x14ac:dyDescent="0.35">
      <c r="A1" s="85" t="s">
        <v>127</v>
      </c>
      <c r="B1" s="20" t="s">
        <v>128</v>
      </c>
      <c r="C1" s="85" t="s">
        <v>131</v>
      </c>
      <c r="D1" s="20" t="s">
        <v>132</v>
      </c>
    </row>
    <row r="2" spans="1:4" x14ac:dyDescent="0.35">
      <c r="A2" s="86" t="s">
        <v>138</v>
      </c>
      <c r="B2" s="87">
        <v>3</v>
      </c>
      <c r="C2" s="88">
        <v>207.12</v>
      </c>
      <c r="D2" s="88">
        <f>B2*C2</f>
        <v>621.36</v>
      </c>
    </row>
    <row r="3" spans="1:4" x14ac:dyDescent="0.35">
      <c r="A3" s="86" t="s">
        <v>143</v>
      </c>
      <c r="B3" s="87">
        <v>5</v>
      </c>
      <c r="C3" s="88">
        <v>95.09</v>
      </c>
      <c r="D3" s="88">
        <f t="shared" ref="D3:D5" si="0">B3*C3</f>
        <v>475.45000000000005</v>
      </c>
    </row>
    <row r="4" spans="1:4" x14ac:dyDescent="0.35">
      <c r="A4" s="86" t="s">
        <v>129</v>
      </c>
      <c r="B4" s="87">
        <v>1</v>
      </c>
      <c r="C4" s="88">
        <v>185.06</v>
      </c>
      <c r="D4" s="88">
        <f t="shared" si="0"/>
        <v>185.06</v>
      </c>
    </row>
    <row r="5" spans="1:4" x14ac:dyDescent="0.35">
      <c r="A5" s="86" t="s">
        <v>130</v>
      </c>
      <c r="B5" s="87">
        <v>5</v>
      </c>
      <c r="C5" s="88">
        <v>21.95</v>
      </c>
      <c r="D5" s="88">
        <f t="shared" si="0"/>
        <v>109.75</v>
      </c>
    </row>
    <row r="6" spans="1:4" x14ac:dyDescent="0.35">
      <c r="A6" s="193"/>
      <c r="B6" s="193"/>
      <c r="C6" s="193"/>
      <c r="D6" s="88">
        <f>SUM(D2:D5)</f>
        <v>1391.62</v>
      </c>
    </row>
    <row r="7" spans="1:4" x14ac:dyDescent="0.35">
      <c r="A7" s="193" t="s">
        <v>133</v>
      </c>
      <c r="B7" s="193"/>
      <c r="C7" s="193"/>
      <c r="D7" s="89">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MOT. DF</vt:lpstr>
      <vt:lpstr>TEC. CONT DF</vt:lpstr>
      <vt:lpstr>UNIFORME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